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611" firstSheet="1" activeTab="1"/>
  </bookViews>
  <sheets>
    <sheet name="Case2-SurplusPayment" sheetId="3" state="hidden" r:id="rId1"/>
    <sheet name="EarlyPayout" sheetId="11" r:id="rId2"/>
    <sheet name="UC1-EarlyPayment" sheetId="8" r:id="rId3"/>
    <sheet name="UC-2 EarlyPayment(with LateFee)" sheetId="10" r:id="rId4"/>
    <sheet name="Case2-SurplusInteres" sheetId="4" state="hidden" r:id="rId5"/>
  </sheets>
  <externalReferences>
    <externalReference r:id="rId6"/>
  </externalReferences>
  <definedNames>
    <definedName name="of_days_before_cancellation">'[1]Revised -Interest Control'!$I$5:$I$35</definedName>
    <definedName name="of_months_financed">'[1]Revised -Interest Control'!$H$5:$H$11</definedName>
    <definedName name="Policy_Types">'[1]Data - MIB'!$O$15:$O$17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McIntosh, Dwain E.</author>
    <author/>
  </authors>
  <commentList>
    <comment ref="C6" authorId="0">
      <text>
        <r>
          <rPr>
            <b/>
            <sz val="9"/>
            <rFont val="Tahoma"/>
            <charset val="134"/>
          </rPr>
          <t>McIntosh, Dwain E.:</t>
        </r>
        <r>
          <rPr>
            <sz val="9"/>
            <rFont val="Tahoma"/>
            <charset val="134"/>
          </rPr>
          <t xml:space="preserve">
Optional - some broker may not want to finance this fee</t>
        </r>
      </text>
    </comment>
    <comment ref="C35" authorId="1">
      <text>
        <r>
          <rPr>
            <sz val="11"/>
            <color rgb="FF000000"/>
            <rFont val="Calibri"/>
            <charset val="1"/>
          </rPr>
          <t xml:space="preserve">MIB:
</t>
        </r>
        <r>
          <rPr>
            <sz val="9"/>
            <color rgb="FF000000"/>
            <rFont val="Tahoma"/>
            <charset val="1"/>
          </rPr>
          <t xml:space="preserve">
Financing no more than the cancellation credit recoverable after 1Month &amp; 15 days and having the client pay 1 Month 15 days of the "interest" as a part of their deposit.</t>
        </r>
      </text>
    </comment>
    <comment ref="C51" authorId="1">
      <text>
        <r>
          <rPr>
            <sz val="11"/>
            <color rgb="FF000000"/>
            <rFont val="Calibri"/>
            <charset val="1"/>
          </rPr>
          <t xml:space="preserve">MIB:
</t>
        </r>
        <r>
          <rPr>
            <sz val="9"/>
            <color rgb="FF000000"/>
            <rFont val="Tahoma"/>
            <charset val="1"/>
          </rPr>
          <t>Interest portion receivable at cancellation</t>
        </r>
      </text>
    </comment>
    <comment ref="C54" authorId="1">
      <text>
        <r>
          <rPr>
            <sz val="11"/>
            <color rgb="FF000000"/>
            <rFont val="Calibri"/>
            <charset val="1"/>
          </rPr>
          <t xml:space="preserve">MIB:
</t>
        </r>
        <r>
          <rPr>
            <sz val="9"/>
            <color rgb="FF000000"/>
            <rFont val="Tahoma"/>
            <charset val="1"/>
          </rPr>
          <t>Interest for unused days (This amount would be reversed by Platform after cancellation)</t>
        </r>
      </text>
    </comment>
    <comment ref="C55" authorId="1">
      <text>
        <r>
          <rPr>
            <sz val="11"/>
            <color rgb="FF000000"/>
            <rFont val="Calibri"/>
            <charset val="1"/>
          </rPr>
          <t xml:space="preserve">MIB:
</t>
        </r>
        <r>
          <rPr>
            <sz val="9"/>
            <color rgb="FF000000"/>
            <rFont val="Tahoma"/>
            <charset val="1"/>
          </rPr>
          <t>Late Fee (this amount would be reversed by Platform after cancellation)</t>
        </r>
      </text>
    </comment>
    <comment ref="D57" authorId="0">
      <text>
        <r>
          <rPr>
            <b/>
            <sz val="9"/>
            <rFont val="Tahoma"/>
            <charset val="134"/>
          </rPr>
          <t>McIntosh, Dwain E.:</t>
        </r>
        <r>
          <rPr>
            <sz val="9"/>
            <rFont val="Tahoma"/>
            <charset val="134"/>
          </rPr>
          <t xml:space="preserve">
Client can pay more than the minimum deposit</t>
        </r>
      </text>
    </comment>
  </commentList>
</comments>
</file>

<file path=xl/sharedStrings.xml><?xml version="1.0" encoding="utf-8"?>
<sst xmlns="http://schemas.openxmlformats.org/spreadsheetml/2006/main" count="288" uniqueCount="197">
  <si>
    <t>Scenario #1</t>
  </si>
  <si>
    <t>Client  Code</t>
  </si>
  <si>
    <t>Brownba12</t>
  </si>
  <si>
    <t xml:space="preserve">GCT Rate </t>
  </si>
  <si>
    <t>Client  Name</t>
  </si>
  <si>
    <t>Damion Brown</t>
  </si>
  <si>
    <t>Premium</t>
  </si>
  <si>
    <t>GCT on Premiums</t>
  </si>
  <si>
    <t>Processing Fee</t>
  </si>
  <si>
    <t>Gct on Processing Fee</t>
  </si>
  <si>
    <t>Stamp Duty</t>
  </si>
  <si>
    <t>Loan required (FCIF to Finance)</t>
  </si>
  <si>
    <t>Item#</t>
  </si>
  <si>
    <t>Cross Ref.</t>
  </si>
  <si>
    <t>Considerations for Actual Platform Malfunctions</t>
  </si>
  <si>
    <t>Additional days of Premium collected</t>
  </si>
  <si>
    <t>PREMIUM</t>
  </si>
  <si>
    <t>WD#1</t>
  </si>
  <si>
    <t>Type of Coverage</t>
  </si>
  <si>
    <t xml:space="preserve"> Comprehensive</t>
  </si>
  <si>
    <t>WD#2</t>
  </si>
  <si>
    <t># of Days after missed installment before cancellation</t>
  </si>
  <si>
    <t>Policy Start Date</t>
  </si>
  <si>
    <t>WD#3</t>
  </si>
  <si>
    <t>Policy Cancelled Date</t>
  </si>
  <si>
    <t>WD#17</t>
  </si>
  <si>
    <t># of Months Financed</t>
  </si>
  <si>
    <t>WD#4</t>
  </si>
  <si>
    <t>Expected Financing Period (Days)</t>
  </si>
  <si>
    <t>End Date of Financing</t>
  </si>
  <si>
    <t>WD#5</t>
  </si>
  <si>
    <t>Number of Days Used  Before Cancellation</t>
  </si>
  <si>
    <t>Due date for 1st installment</t>
  </si>
  <si>
    <t>WD#6</t>
  </si>
  <si>
    <t>Agreed # of Days in Year</t>
  </si>
  <si>
    <t>Number of Unused Days</t>
  </si>
  <si>
    <t>Considerations for Platform Cancellation Return Premium</t>
  </si>
  <si>
    <t>Agreed returned premium</t>
  </si>
  <si>
    <t>Returned Premium based on agreed days to cancel</t>
  </si>
  <si>
    <t># of days after which Platform cancels</t>
  </si>
  <si>
    <t>gct on Returned Premium based on agreed days to cancel</t>
  </si>
  <si>
    <t># of days used before cancellation</t>
  </si>
  <si>
    <t>total returned premium based on agreed days to cancel</t>
  </si>
  <si>
    <t>Unused days on Platform</t>
  </si>
  <si>
    <t>Actual cancellation date</t>
  </si>
  <si>
    <t>Monthly installment Details</t>
  </si>
  <si>
    <r>
      <rPr>
        <b/>
        <sz val="12"/>
        <color rgb="FFFF0000"/>
        <rFont val="Calibri"/>
        <charset val="1"/>
      </rPr>
      <t>TOR</t>
    </r>
    <r>
      <rPr>
        <b/>
        <sz val="12"/>
        <color rgb="FF000000"/>
        <rFont val="Calibri"/>
        <charset val="1"/>
      </rPr>
      <t xml:space="preserve"> or Client Credit/Debit</t>
    </r>
  </si>
  <si>
    <t>WD#20</t>
  </si>
  <si>
    <t>Monthly Payment</t>
  </si>
  <si>
    <t>WD#19</t>
  </si>
  <si>
    <t>Deposit $</t>
  </si>
  <si>
    <t>Interest Portion</t>
  </si>
  <si>
    <t>Returned Premium</t>
  </si>
  <si>
    <t>WD#13</t>
  </si>
  <si>
    <t>Total Monthly Installment</t>
  </si>
  <si>
    <t>Monthly installment</t>
  </si>
  <si>
    <t>Viaion Migration</t>
  </si>
  <si>
    <t>Sample Vision Transaction Codes</t>
  </si>
  <si>
    <t>REVISED APPROACH</t>
  </si>
  <si>
    <t>REVISED APPROACH_Pay More than Minimum Deposit</t>
  </si>
  <si>
    <t>Premium Amount</t>
  </si>
  <si>
    <t>NEWB - Marathon Line</t>
  </si>
  <si>
    <t>GCT on Premium</t>
  </si>
  <si>
    <t>GCTA - Marathon Line</t>
  </si>
  <si>
    <t>PPFE - Marathon Line</t>
  </si>
  <si>
    <t>GCT on Processing FEE</t>
  </si>
  <si>
    <t>GCT on Processing</t>
  </si>
  <si>
    <t>GCT Amount</t>
  </si>
  <si>
    <t>Interest Amount</t>
  </si>
  <si>
    <t>STAD- Marathon Line</t>
  </si>
  <si>
    <t>Loan Amount</t>
  </si>
  <si>
    <t>WD#7</t>
  </si>
  <si>
    <t>Total Amount</t>
  </si>
  <si>
    <t>WD#12</t>
  </si>
  <si>
    <t>Deposit</t>
  </si>
  <si>
    <t>minimum deposit</t>
  </si>
  <si>
    <t>NEWF - Marathon Line</t>
  </si>
  <si>
    <t>PASS</t>
  </si>
  <si>
    <t>Actual Financed</t>
  </si>
  <si>
    <t>WD#8</t>
  </si>
  <si>
    <t>Interest at Deposit</t>
  </si>
  <si>
    <t xml:space="preserve">variable deposit </t>
  </si>
  <si>
    <t>IPFI - FCIF Line</t>
  </si>
  <si>
    <t>Agreed to be Financed</t>
  </si>
  <si>
    <t>Risk Premium Credit</t>
  </si>
  <si>
    <t>RISP - FCIF Line</t>
  </si>
  <si>
    <t>Installment Amount</t>
  </si>
  <si>
    <t>Interest Rate</t>
  </si>
  <si>
    <t>WD#9</t>
  </si>
  <si>
    <t>Installmet #1</t>
  </si>
  <si>
    <t>Pricipal Amount</t>
  </si>
  <si>
    <t>NEWF - FCIF Line</t>
  </si>
  <si>
    <t>GCT RATE</t>
  </si>
  <si>
    <t>Interest #1</t>
  </si>
  <si>
    <t>Interest per month</t>
  </si>
  <si>
    <t>Days Financed</t>
  </si>
  <si>
    <t>WD#18</t>
  </si>
  <si>
    <t>Installmet #2</t>
  </si>
  <si>
    <t>Basic Interest $</t>
  </si>
  <si>
    <t>WD#23</t>
  </si>
  <si>
    <t>Interest #2</t>
  </si>
  <si>
    <t>Minimum Interest</t>
  </si>
  <si>
    <t>WD#15</t>
  </si>
  <si>
    <t>Installmet #3</t>
  </si>
  <si>
    <t>Interest Charge 1 Month</t>
  </si>
  <si>
    <t>WD#14</t>
  </si>
  <si>
    <t>Interest #3</t>
  </si>
  <si>
    <t>Unearned Interest</t>
  </si>
  <si>
    <t>WD#22</t>
  </si>
  <si>
    <t xml:space="preserve">Late Fee </t>
  </si>
  <si>
    <t>WD#21</t>
  </si>
  <si>
    <t>Premiums Collected for Additional Day(s)</t>
  </si>
  <si>
    <t>WD#16</t>
  </si>
  <si>
    <t>WD#11</t>
  </si>
  <si>
    <t>WD#25</t>
  </si>
  <si>
    <t>Client A/c Balance at cancellation</t>
  </si>
  <si>
    <t>Returned Premium (Cancellation Credit)</t>
  </si>
  <si>
    <t>GCT on returned premium</t>
  </si>
  <si>
    <t>TOTAL Returned Premium</t>
  </si>
  <si>
    <t>Surplus is</t>
  </si>
  <si>
    <t>Client Interest on surplus</t>
  </si>
  <si>
    <t>&lt;- This giving problem</t>
  </si>
  <si>
    <t>FPF - (finance processing fee)</t>
  </si>
  <si>
    <t>Journal Entries - Inseption of the Loan</t>
  </si>
  <si>
    <t>Dr</t>
  </si>
  <si>
    <t>Cr</t>
  </si>
  <si>
    <t>Accounts Receivable (Client Account)</t>
  </si>
  <si>
    <t>Accounts Payable (Due to Broker)</t>
  </si>
  <si>
    <t>Accounts Payable - Default Premium</t>
  </si>
  <si>
    <t>Income (IPF Interest)</t>
  </si>
  <si>
    <t>Journal Entries - Deposit paid by client and on every instalments payment</t>
  </si>
  <si>
    <t>FCIF Bank Account</t>
  </si>
  <si>
    <t>Accounts Receivables (Client Account)</t>
  </si>
  <si>
    <t>Journal Entries -Payment to Broker</t>
  </si>
  <si>
    <t>Accounts Payable (Broker)</t>
  </si>
  <si>
    <t>Journal Entries -Client missed payment Adding Late Fee in the system</t>
  </si>
  <si>
    <t>Accounts Receivable (Client account)</t>
  </si>
  <si>
    <t>Income (Late Fee)</t>
  </si>
  <si>
    <t>GCT - Governemt Payable</t>
  </si>
  <si>
    <t>Journal Entries -Policy Cancelled</t>
  </si>
  <si>
    <t>Income (Returned Interest)</t>
  </si>
  <si>
    <r>
      <rPr>
        <b/>
        <sz val="18"/>
        <color rgb="FF000000"/>
        <rFont val="Calibri"/>
        <charset val="134"/>
      </rPr>
      <t>Early Payout</t>
    </r>
    <r>
      <rPr>
        <sz val="11"/>
        <color rgb="FF000000"/>
        <rFont val="Calibri"/>
        <charset val="1"/>
      </rPr>
      <t xml:space="preserve">
FCIF Early Payoff Calculation includes full outstanding principal, due and upcoming interest and any late fee inclusive GCT, early pay-out penalty (X% on unearned interest) and risk premium.  Note: Early payoff must be less than total loan outstanding.
</t>
    </r>
    <r>
      <rPr>
        <b/>
        <i/>
        <sz val="11"/>
        <color rgb="FF000000"/>
        <rFont val="Calibri"/>
        <charset val="134"/>
      </rPr>
      <t>FCIF Early Payoff Calculation – Steps</t>
    </r>
    <r>
      <rPr>
        <sz val="11"/>
        <color rgb="FF000000"/>
        <rFont val="Calibri"/>
        <charset val="1"/>
      </rPr>
      <t xml:space="preserve">
</t>
    </r>
    <r>
      <rPr>
        <b/>
        <sz val="11"/>
        <color rgb="FF000000"/>
        <rFont val="Calibri"/>
        <charset val="134"/>
      </rPr>
      <t>1. Outstanding Principal</t>
    </r>
    <r>
      <rPr>
        <sz val="11"/>
        <color rgb="FF000000"/>
        <rFont val="Calibri"/>
        <charset val="1"/>
      </rPr>
      <t xml:space="preserve"> – Full unpaid principal must be paid.
</t>
    </r>
    <r>
      <rPr>
        <b/>
        <sz val="11"/>
        <color rgb="FF000000"/>
        <rFont val="Calibri"/>
        <charset val="134"/>
      </rPr>
      <t>2. Current Interest</t>
    </r>
    <r>
      <rPr>
        <sz val="11"/>
        <color rgb="FF000000"/>
        <rFont val="Calibri"/>
        <charset val="1"/>
      </rPr>
      <t xml:space="preserve"> – Include due interest (no extra % applied).
</t>
    </r>
    <r>
      <rPr>
        <b/>
        <sz val="11"/>
        <color rgb="FF000000"/>
        <rFont val="Calibri"/>
        <charset val="134"/>
      </rPr>
      <t>3. Early Pay-out Penalty</t>
    </r>
    <r>
      <rPr>
        <sz val="11"/>
        <color rgb="FF000000"/>
        <rFont val="Calibri"/>
        <charset val="1"/>
      </rPr>
      <t xml:space="preserve"> – Apply X% (from DB) on the applicable interest portion.
4. </t>
    </r>
    <r>
      <rPr>
        <b/>
        <sz val="11"/>
        <color rgb="FF000000"/>
        <rFont val="Calibri"/>
        <charset val="134"/>
      </rPr>
      <t>GCT on Early Pay-out Penalty</t>
    </r>
    <r>
      <rPr>
        <sz val="11"/>
        <color rgb="FF000000"/>
        <rFont val="Calibri"/>
        <charset val="1"/>
      </rPr>
      <t xml:space="preserve"> – Apply 15% to the Early Pay-out Penalty.
</t>
    </r>
    <r>
      <rPr>
        <b/>
        <sz val="11"/>
        <color rgb="FF000000"/>
        <rFont val="Calibri"/>
        <charset val="134"/>
      </rPr>
      <t>5. Late Fe</t>
    </r>
    <r>
      <rPr>
        <sz val="11"/>
        <color rgb="FF000000"/>
        <rFont val="Calibri"/>
        <charset val="1"/>
      </rPr>
      <t xml:space="preserve">e – Add pending late fees (Do not apply Early pay-out penalty interest on late fee) considered it with GCT.
</t>
    </r>
    <r>
      <rPr>
        <b/>
        <sz val="11"/>
        <color rgb="FF000000"/>
        <rFont val="Calibri"/>
        <charset val="134"/>
      </rPr>
      <t xml:space="preserve">6. Risk Premium </t>
    </r>
    <r>
      <rPr>
        <sz val="11"/>
        <color rgb="FF000000"/>
        <rFont val="Calibri"/>
        <charset val="1"/>
      </rPr>
      <t xml:space="preserve">- Subtract Risk Premium from amount being paid.
</t>
    </r>
    <r>
      <rPr>
        <b/>
        <sz val="11"/>
        <color rgb="FF000000"/>
        <rFont val="Calibri"/>
        <charset val="134"/>
      </rPr>
      <t xml:space="preserve">7. Total Early Payoff Amount </t>
    </r>
    <r>
      <rPr>
        <sz val="11"/>
        <color rgb="FF000000"/>
        <rFont val="Calibri"/>
        <charset val="1"/>
      </rPr>
      <t xml:space="preserve">= O/S Principal + Due Interest +(Early pay amount Penalty % * Unearned Interest) + Late Fee - Risk Premium.
</t>
    </r>
    <r>
      <rPr>
        <b/>
        <sz val="11"/>
        <color rgb="FF000000"/>
        <rFont val="Calibri"/>
        <charset val="134"/>
      </rPr>
      <t>Caution</t>
    </r>
    <r>
      <rPr>
        <sz val="11"/>
        <color rgb="FF000000"/>
        <rFont val="Calibri"/>
        <charset val="1"/>
      </rPr>
      <t xml:space="preserve">: Early pay out must be less than the loan outstanding payments.  
</t>
    </r>
    <r>
      <rPr>
        <b/>
        <u/>
        <sz val="11"/>
        <color rgb="FF000000"/>
        <rFont val="Calibri"/>
        <charset val="134"/>
      </rPr>
      <t>Transaction Code &amp; GL Account for Early Payout Fee</t>
    </r>
    <r>
      <rPr>
        <sz val="11"/>
        <color rgb="FF000000"/>
        <rFont val="Calibri"/>
        <charset val="1"/>
      </rPr>
      <t xml:space="preserve">
Transaction Code: </t>
    </r>
    <r>
      <rPr>
        <b/>
        <sz val="11"/>
        <color rgb="FF000000"/>
        <rFont val="Calibri"/>
        <charset val="134"/>
      </rPr>
      <t>EPOF</t>
    </r>
    <r>
      <rPr>
        <sz val="11"/>
        <color rgb="FF000000"/>
        <rFont val="Calibri"/>
        <charset val="1"/>
      </rPr>
      <t xml:space="preserve">
GL Account: </t>
    </r>
    <r>
      <rPr>
        <b/>
        <sz val="11"/>
        <color rgb="FF000000"/>
        <rFont val="Calibri"/>
        <charset val="134"/>
      </rPr>
      <t>5018-EPOF</t>
    </r>
    <r>
      <rPr>
        <sz val="11"/>
        <color rgb="FF000000"/>
        <rFont val="Calibri"/>
        <charset val="1"/>
      </rPr>
      <t xml:space="preserve">
</t>
    </r>
  </si>
  <si>
    <r>
      <rPr>
        <b/>
        <sz val="11"/>
        <color rgb="FF000000"/>
        <rFont val="Calibri"/>
        <charset val="134"/>
      </rPr>
      <t>Use Case 1</t>
    </r>
    <r>
      <rPr>
        <sz val="11"/>
        <color rgb="FF000000"/>
        <rFont val="Calibri"/>
        <charset val="1"/>
      </rPr>
      <t xml:space="preserve">: When user came in second month to earlypayoff. </t>
    </r>
  </si>
  <si>
    <t>UC1-EarlyPayment'!A1</t>
  </si>
  <si>
    <r>
      <rPr>
        <b/>
        <sz val="11"/>
        <color rgb="FF000000"/>
        <rFont val="Calibri"/>
        <charset val="134"/>
      </rPr>
      <t>Use Case2</t>
    </r>
    <r>
      <rPr>
        <sz val="11"/>
        <color rgb="FF000000"/>
        <rFont val="Calibri"/>
        <charset val="1"/>
      </rPr>
      <t>: When user came in third  month to earlypayoff with late fee</t>
    </r>
  </si>
  <si>
    <t>UC-2 EarlyPayment(with LateFee)'!A1</t>
  </si>
  <si>
    <t>Risk Premimum</t>
  </si>
  <si>
    <t xml:space="preserve">Early pay-out penalty </t>
  </si>
  <si>
    <t>50% of interest waived</t>
  </si>
  <si>
    <t>Installment Number</t>
  </si>
  <si>
    <t>Principal Balance</t>
  </si>
  <si>
    <t>Interest Balance</t>
  </si>
  <si>
    <t>IsPaid</t>
  </si>
  <si>
    <t>Comment</t>
  </si>
  <si>
    <t>monthly Installments #1</t>
  </si>
  <si>
    <t>Yes</t>
  </si>
  <si>
    <t>monthly Installments #2</t>
  </si>
  <si>
    <t>Due for payment</t>
  </si>
  <si>
    <t>monthly Installments #3</t>
  </si>
  <si>
    <t>Future</t>
  </si>
  <si>
    <t>monthly Installments #4</t>
  </si>
  <si>
    <t>monthly Installments #5</t>
  </si>
  <si>
    <t>monthly Installments #6</t>
  </si>
  <si>
    <t>monthly Installments #7</t>
  </si>
  <si>
    <t>Calculation of Early payout</t>
  </si>
  <si>
    <t>Principal</t>
  </si>
  <si>
    <t>Interest</t>
  </si>
  <si>
    <t>Sum</t>
  </si>
  <si>
    <t>Early payout Fee</t>
  </si>
  <si>
    <t>GCT on Early payout fee</t>
  </si>
  <si>
    <t xml:space="preserve">Risk premium </t>
  </si>
  <si>
    <t>Total Early payout payment</t>
  </si>
  <si>
    <t>FCIF Early Payoff Calculation</t>
  </si>
  <si>
    <t>Sr</t>
  </si>
  <si>
    <t>Factor</t>
  </si>
  <si>
    <t>Proposed Calculation</t>
  </si>
  <si>
    <t>Remark</t>
  </si>
  <si>
    <t>O/S Principal</t>
  </si>
  <si>
    <t>Considered</t>
  </si>
  <si>
    <t>This has to paid full.</t>
  </si>
  <si>
    <t>Current Interest</t>
  </si>
  <si>
    <t xml:space="preserve">Percentage will NOT apply on current interest. </t>
  </si>
  <si>
    <t>X percent</t>
  </si>
  <si>
    <t>This Percnetage is driven from DB and applied on upcoming interest part. Includes GCT</t>
  </si>
  <si>
    <t>Late Fee</t>
  </si>
  <si>
    <t>Not paid interest</t>
  </si>
  <si>
    <t>Risk Premium</t>
  </si>
  <si>
    <t>Subtracted from Early Payout Amount</t>
  </si>
  <si>
    <t>Over Due</t>
  </si>
  <si>
    <t>Late Fee of $1,800 + GCT $270 is added</t>
  </si>
  <si>
    <t>Due for Payment</t>
  </si>
  <si>
    <t>Late fee</t>
  </si>
  <si>
    <t>System Demands for minim Deposit</t>
  </si>
  <si>
    <t>Amount Finance</t>
  </si>
  <si>
    <t>total Interes</t>
  </si>
  <si>
    <t>Deduct the toal interest from surplu</t>
  </si>
  <si>
    <t>Interest to be applicable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</si>
</sst>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3" formatCode="_(* #,##0.00_);_(* \(#,##0.00\);_(* &quot;-&quot;??_);_(@_)"/>
    <numFmt numFmtId="176" formatCode="_(* #,##0.00_);_(* \(#,##0.00\);_(* \-??_);_(@_)"/>
    <numFmt numFmtId="177" formatCode="_(&quot;$&quot;* #,##0.00_);_(&quot;$&quot;* \(#,##0.00\);_(&quot;$&quot;* \-??_);_(@_)"/>
    <numFmt numFmtId="178" formatCode="_ * #,##0_ ;_ * \-#,##0_ ;_ * &quot;-&quot;_ ;_ @_ "/>
    <numFmt numFmtId="179" formatCode="0.0%"/>
    <numFmt numFmtId="180" formatCode="d\ mmm\ yy"/>
    <numFmt numFmtId="181" formatCode="&quot;$&quot;#,##0.00_);[Red]&quot;($&quot;#,##0.00\)"/>
  </numFmts>
  <fonts count="55">
    <font>
      <sz val="11"/>
      <color rgb="FF000000"/>
      <name val="Calibri"/>
      <charset val="1"/>
    </font>
    <font>
      <sz val="11"/>
      <color theme="0"/>
      <name val="Calibri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rgb="FFFA7D00"/>
      <name val="Calibri"/>
      <charset val="134"/>
      <scheme val="minor"/>
    </font>
    <font>
      <u/>
      <sz val="11"/>
      <color theme="10"/>
      <name val="Calibri"/>
      <charset val="1"/>
    </font>
    <font>
      <sz val="16"/>
      <color rgb="FF000000"/>
      <name val="Calibri"/>
      <charset val="1"/>
    </font>
    <font>
      <sz val="12"/>
      <color rgb="FF000000"/>
      <name val="Calibri"/>
      <charset val="1"/>
    </font>
    <font>
      <sz val="18"/>
      <color rgb="FF000000"/>
      <name val="Calibri"/>
      <charset val="1"/>
    </font>
    <font>
      <b/>
      <sz val="12"/>
      <color rgb="FF000000"/>
      <name val="Calibri"/>
      <charset val="134"/>
    </font>
    <font>
      <b/>
      <sz val="16"/>
      <color rgb="FF0000FF"/>
      <name val="Calibri"/>
      <charset val="134"/>
    </font>
    <font>
      <b/>
      <sz val="16"/>
      <color rgb="FF000000"/>
      <name val="Calibri"/>
      <charset val="1"/>
    </font>
    <font>
      <b/>
      <sz val="16"/>
      <color rgb="FF000000"/>
      <name val="Calibri"/>
      <charset val="134"/>
    </font>
    <font>
      <b/>
      <sz val="12"/>
      <color rgb="FF000000"/>
      <name val="Calibri"/>
      <charset val="1"/>
    </font>
    <font>
      <b/>
      <sz val="12"/>
      <color rgb="FF0000FF"/>
      <name val="Calibri"/>
      <charset val="1"/>
    </font>
    <font>
      <b/>
      <sz val="12"/>
      <color rgb="FF0000FF"/>
      <name val="Calibri"/>
      <charset val="134"/>
    </font>
    <font>
      <b/>
      <sz val="12"/>
      <color rgb="FFFF0000"/>
      <name val="Calibri"/>
      <charset val="1"/>
    </font>
    <font>
      <b/>
      <sz val="11"/>
      <color rgb="FFFFFFFF"/>
      <name val="Calibri"/>
      <charset val="1"/>
    </font>
    <font>
      <sz val="10"/>
      <name val="Arial"/>
      <charset val="1"/>
    </font>
    <font>
      <sz val="11"/>
      <color rgb="FF006100"/>
      <name val="Calibri"/>
      <charset val="134"/>
      <scheme val="minor"/>
    </font>
    <font>
      <sz val="11"/>
      <color rgb="FF9C6500"/>
      <name val="Calibri"/>
      <charset val="1"/>
    </font>
    <font>
      <sz val="12"/>
      <name val="Calibri"/>
      <charset val="1"/>
    </font>
    <font>
      <b/>
      <sz val="18"/>
      <color rgb="FF000000"/>
      <name val="Calibri"/>
      <charset val="134"/>
    </font>
    <font>
      <sz val="11"/>
      <color rgb="FF9C0006"/>
      <name val="Calibri"/>
      <charset val="1"/>
    </font>
    <font>
      <u/>
      <sz val="12"/>
      <color rgb="FF000000"/>
      <name val="Calibri"/>
      <charset val="1"/>
    </font>
    <font>
      <sz val="11"/>
      <color rgb="FF9C0006"/>
      <name val="Calibri"/>
      <charset val="134"/>
      <scheme val="minor"/>
    </font>
    <font>
      <b/>
      <sz val="16"/>
      <name val="Calibri"/>
      <charset val="134"/>
    </font>
    <font>
      <sz val="16"/>
      <name val="Calibri"/>
      <charset val="1"/>
    </font>
    <font>
      <sz val="12"/>
      <color rgb="FF000000"/>
      <name val="Calibri"/>
      <charset val="134"/>
    </font>
    <font>
      <b/>
      <sz val="11"/>
      <name val="Calibri"/>
      <charset val="134"/>
    </font>
    <font>
      <b/>
      <sz val="11"/>
      <color rgb="FF006100"/>
      <name val="Calibri"/>
      <charset val="1"/>
    </font>
    <font>
      <b/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1"/>
    </font>
    <font>
      <b/>
      <sz val="15"/>
      <color rgb="FF44546A"/>
      <name val="Calibri"/>
      <charset val="1"/>
    </font>
    <font>
      <b/>
      <i/>
      <sz val="11"/>
      <color rgb="FF000000"/>
      <name val="Calibri"/>
      <charset val="134"/>
    </font>
    <font>
      <b/>
      <u/>
      <sz val="11"/>
      <color rgb="FF000000"/>
      <name val="Calibri"/>
      <charset val="134"/>
    </font>
    <font>
      <b/>
      <sz val="9"/>
      <name val="Tahoma"/>
      <charset val="134"/>
    </font>
    <font>
      <sz val="9"/>
      <color rgb="FF000000"/>
      <name val="Tahoma"/>
      <charset val="1"/>
    </font>
    <font>
      <sz val="9"/>
      <name val="Tahoma"/>
      <charset val="134"/>
    </font>
  </fonts>
  <fills count="5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6A6A6"/>
      </patternFill>
    </fill>
    <fill>
      <patternFill patternType="solid">
        <fgColor rgb="FFF2F2F2"/>
        <bgColor rgb="FFEDEDED"/>
      </patternFill>
    </fill>
    <fill>
      <patternFill patternType="solid">
        <fgColor rgb="FFDBDBDB"/>
        <bgColor rgb="FFDAE3F3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DBDBDB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rgb="FFEDEDED"/>
      </patternFill>
    </fill>
    <fill>
      <patternFill patternType="solid">
        <fgColor rgb="FFDEEBF7"/>
        <bgColor rgb="FFDAE3F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rgb="FFDBDBDB"/>
      </patternFill>
    </fill>
    <fill>
      <patternFill patternType="solid">
        <fgColor rgb="FFFFFF00"/>
        <bgColor rgb="FFA5A5A5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rgb="FFDAE3F3"/>
      </patternFill>
    </fill>
    <fill>
      <patternFill patternType="solid">
        <fgColor theme="0"/>
        <bgColor rgb="FFDBDBDB"/>
      </patternFill>
    </fill>
    <fill>
      <patternFill patternType="solid">
        <fgColor rgb="FFEDEDED"/>
        <bgColor rgb="FFF2F2F2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B9BD5"/>
      </bottom>
      <diagonal/>
    </border>
  </borders>
  <cellStyleXfs count="55">
    <xf numFmtId="0" fontId="0" fillId="0" borderId="0"/>
    <xf numFmtId="176" fontId="0" fillId="0" borderId="0" applyBorder="0" applyProtection="0"/>
    <xf numFmtId="177" fontId="0" fillId="0" borderId="0" applyBorder="0" applyProtection="0"/>
    <xf numFmtId="9" fontId="0" fillId="0" borderId="0" applyBorder="0" applyProtection="0"/>
    <xf numFmtId="178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6" borderId="2" applyNumberFormat="0" applyAlignment="0" applyProtection="0">
      <alignment vertical="center"/>
    </xf>
    <xf numFmtId="0" fontId="41" fillId="27" borderId="32" applyNumberFormat="0" applyAlignment="0" applyProtection="0">
      <alignment vertical="center"/>
    </xf>
    <xf numFmtId="0" fontId="4" fillId="5" borderId="2" applyNumberFormat="0" applyAlignment="0" applyProtection="0"/>
    <xf numFmtId="0" fontId="42" fillId="28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19" fillId="15" borderId="0" applyNumberFormat="0" applyBorder="0" applyAlignment="0" applyProtection="0"/>
    <xf numFmtId="0" fontId="25" fillId="21" borderId="0" applyNumberFormat="0" applyBorder="0" applyAlignment="0" applyProtection="0"/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1" fillId="2" borderId="0" applyNumberFormat="0" applyBorder="0" applyAlignment="0" applyProtection="0"/>
    <xf numFmtId="0" fontId="46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23" fillId="19" borderId="0" applyBorder="0" applyProtection="0"/>
    <xf numFmtId="0" fontId="17" fillId="10" borderId="33" applyProtection="0"/>
    <xf numFmtId="0" fontId="48" fillId="22" borderId="0" applyBorder="0" applyProtection="0"/>
    <xf numFmtId="0" fontId="49" fillId="0" borderId="36" applyProtection="0"/>
    <xf numFmtId="0" fontId="20" fillId="16" borderId="0" applyBorder="0" applyProtection="0"/>
    <xf numFmtId="0" fontId="18" fillId="0" borderId="0"/>
  </cellStyleXfs>
  <cellXfs count="148">
    <xf numFmtId="0" fontId="0" fillId="0" borderId="0" xfId="0"/>
    <xf numFmtId="0" fontId="1" fillId="2" borderId="0" xfId="44"/>
    <xf numFmtId="0" fontId="2" fillId="0" borderId="0" xfId="0" applyFont="1"/>
    <xf numFmtId="177" fontId="0" fillId="0" borderId="0" xfId="2"/>
    <xf numFmtId="179" fontId="0" fillId="0" borderId="0" xfId="3" applyNumberFormat="1" applyAlignment="1">
      <alignment horizontal="right"/>
    </xf>
    <xf numFmtId="0" fontId="3" fillId="3" borderId="1" xfId="0" applyFont="1" applyFill="1" applyBorder="1"/>
    <xf numFmtId="0" fontId="0" fillId="0" borderId="1" xfId="0" applyBorder="1"/>
    <xf numFmtId="176" fontId="0" fillId="0" borderId="1" xfId="1" applyBorder="1"/>
    <xf numFmtId="176" fontId="0" fillId="4" borderId="1" xfId="1" applyFill="1" applyBorder="1"/>
    <xf numFmtId="0" fontId="0" fillId="0" borderId="0" xfId="0" applyAlignment="1">
      <alignment horizontal="left" indent="2"/>
    </xf>
    <xf numFmtId="176" fontId="0" fillId="0" borderId="0" xfId="1"/>
    <xf numFmtId="0" fontId="4" fillId="5" borderId="2" xfId="18"/>
    <xf numFmtId="0" fontId="0" fillId="0" borderId="0" xfId="0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wrapText="1"/>
    </xf>
    <xf numFmtId="176" fontId="0" fillId="0" borderId="1" xfId="1" applyBorder="1" applyAlignment="1">
      <alignment wrapText="1"/>
    </xf>
    <xf numFmtId="0" fontId="2" fillId="6" borderId="3" xfId="8" applyFont="1" applyAlignment="1">
      <alignment horizontal="left" wrapText="1"/>
    </xf>
    <xf numFmtId="0" fontId="0" fillId="6" borderId="3" xfId="8" applyFont="1" applyAlignment="1">
      <alignment horizontal="left"/>
    </xf>
    <xf numFmtId="0" fontId="5" fillId="0" borderId="0" xfId="6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7" fillId="0" borderId="0" xfId="1" applyFont="1" applyBorder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6" fillId="0" borderId="0" xfId="1" applyFont="1" applyBorder="1" applyAlignment="1" applyProtection="1">
      <alignment vertical="center" wrapText="1"/>
    </xf>
    <xf numFmtId="179" fontId="0" fillId="0" borderId="0" xfId="3" applyNumberFormat="1" applyBorder="1"/>
    <xf numFmtId="176" fontId="0" fillId="0" borderId="0" xfId="1" applyBorder="1"/>
    <xf numFmtId="176" fontId="0" fillId="7" borderId="0" xfId="1" applyFill="1" applyBorder="1"/>
    <xf numFmtId="0" fontId="12" fillId="0" borderId="0" xfId="0" applyFont="1" applyAlignment="1">
      <alignment vertical="center"/>
    </xf>
    <xf numFmtId="176" fontId="12" fillId="8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76" fontId="13" fillId="0" borderId="1" xfId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" fontId="7" fillId="9" borderId="1" xfId="0" applyNumberFormat="1" applyFont="1" applyFill="1" applyBorder="1" applyAlignment="1">
      <alignment vertical="center"/>
    </xf>
    <xf numFmtId="176" fontId="7" fillId="0" borderId="4" xfId="1" applyFont="1" applyBorder="1" applyAlignment="1" applyProtection="1">
      <alignment vertical="center" wrapText="1"/>
    </xf>
    <xf numFmtId="0" fontId="14" fillId="0" borderId="0" xfId="0" applyFont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180" fontId="7" fillId="0" borderId="1" xfId="0" applyNumberFormat="1" applyFont="1" applyBorder="1" applyAlignment="1">
      <alignment vertical="center"/>
    </xf>
    <xf numFmtId="2" fontId="7" fillId="9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176" fontId="13" fillId="0" borderId="5" xfId="1" applyFont="1" applyBorder="1" applyAlignment="1" applyProtection="1">
      <alignment horizontal="center" vertical="center"/>
    </xf>
    <xf numFmtId="176" fontId="9" fillId="0" borderId="0" xfId="1" applyFont="1" applyBorder="1" applyAlignment="1" applyProtection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76" fontId="7" fillId="0" borderId="9" xfId="0" applyNumberFormat="1" applyFont="1" applyBorder="1" applyAlignment="1">
      <alignment vertical="center"/>
    </xf>
    <xf numFmtId="0" fontId="13" fillId="9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176" fontId="7" fillId="0" borderId="1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176" fontId="7" fillId="0" borderId="13" xfId="1" applyFont="1" applyBorder="1" applyAlignment="1" applyProtection="1">
      <alignment vertical="center"/>
    </xf>
    <xf numFmtId="2" fontId="7" fillId="0" borderId="0" xfId="0" applyNumberFormat="1" applyFont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0" fontId="13" fillId="0" borderId="1" xfId="1" applyNumberFormat="1" applyFont="1" applyBorder="1" applyAlignment="1" applyProtection="1">
      <alignment vertical="center"/>
    </xf>
    <xf numFmtId="0" fontId="7" fillId="0" borderId="16" xfId="0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4" xfId="0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0" fontId="17" fillId="10" borderId="1" xfId="50" applyBorder="1" applyAlignment="1" applyProtection="1">
      <alignment horizontal="center" vertical="center"/>
    </xf>
    <xf numFmtId="176" fontId="13" fillId="11" borderId="5" xfId="1" applyFont="1" applyFill="1" applyBorder="1" applyAlignment="1" applyProtection="1">
      <alignment horizontal="center" vertical="center" wrapText="1"/>
    </xf>
    <xf numFmtId="176" fontId="13" fillId="12" borderId="0" xfId="1" applyFont="1" applyFill="1" applyBorder="1" applyAlignment="1" applyProtection="1">
      <alignment horizontal="center" vertical="center"/>
    </xf>
    <xf numFmtId="0" fontId="7" fillId="13" borderId="0" xfId="0" applyFont="1" applyFill="1" applyAlignment="1">
      <alignment vertical="center"/>
    </xf>
    <xf numFmtId="176" fontId="7" fillId="13" borderId="0" xfId="1" applyFont="1" applyFill="1" applyBorder="1" applyAlignment="1" applyProtection="1">
      <alignment vertical="center" wrapText="1"/>
    </xf>
    <xf numFmtId="0" fontId="7" fillId="13" borderId="1" xfId="0" applyFont="1" applyFill="1" applyBorder="1" applyAlignment="1">
      <alignment vertical="center"/>
    </xf>
    <xf numFmtId="0" fontId="18" fillId="13" borderId="1" xfId="54" applyFill="1" applyBorder="1"/>
    <xf numFmtId="176" fontId="7" fillId="13" borderId="20" xfId="1" applyFont="1" applyFill="1" applyBorder="1" applyAlignment="1" applyProtection="1">
      <alignment vertical="center" wrapText="1"/>
    </xf>
    <xf numFmtId="0" fontId="13" fillId="8" borderId="0" xfId="0" applyFont="1" applyFill="1" applyAlignment="1">
      <alignment vertical="center"/>
    </xf>
    <xf numFmtId="176" fontId="3" fillId="14" borderId="1" xfId="0" applyNumberFormat="1" applyFont="1" applyFill="1" applyBorder="1"/>
    <xf numFmtId="0" fontId="18" fillId="0" borderId="1" xfId="54" applyBorder="1"/>
    <xf numFmtId="0" fontId="7" fillId="8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1" applyFont="1" applyBorder="1" applyAlignment="1" applyProtection="1">
      <alignment vertical="center" wrapText="1"/>
    </xf>
    <xf numFmtId="0" fontId="19" fillId="15" borderId="1" xfId="22" applyBorder="1" applyAlignment="1">
      <alignment vertical="center"/>
    </xf>
    <xf numFmtId="0" fontId="20" fillId="16" borderId="1" xfId="53" applyBorder="1" applyAlignment="1" applyProtection="1">
      <alignment vertical="center"/>
    </xf>
    <xf numFmtId="0" fontId="18" fillId="0" borderId="0" xfId="54"/>
    <xf numFmtId="0" fontId="21" fillId="0" borderId="1" xfId="0" applyFont="1" applyBorder="1" applyAlignment="1">
      <alignment horizontal="left" vertical="center"/>
    </xf>
    <xf numFmtId="9" fontId="7" fillId="0" borderId="0" xfId="3" applyFont="1" applyBorder="1" applyAlignment="1" applyProtection="1">
      <alignment vertical="center" wrapText="1"/>
    </xf>
    <xf numFmtId="0" fontId="7" fillId="0" borderId="1" xfId="0" applyFont="1" applyBorder="1" applyAlignment="1">
      <alignment horizontal="left" vertical="center"/>
    </xf>
    <xf numFmtId="176" fontId="7" fillId="0" borderId="1" xfId="1" applyFont="1" applyBorder="1" applyAlignment="1" applyProtection="1">
      <alignment vertical="center"/>
    </xf>
    <xf numFmtId="176" fontId="0" fillId="17" borderId="1" xfId="0" applyNumberFormat="1" applyFill="1" applyBorder="1"/>
    <xf numFmtId="43" fontId="18" fillId="0" borderId="0" xfId="54" applyNumberFormat="1"/>
    <xf numFmtId="176" fontId="8" fillId="0" borderId="1" xfId="0" applyNumberFormat="1" applyFont="1" applyBorder="1" applyAlignment="1">
      <alignment vertical="center"/>
    </xf>
    <xf numFmtId="176" fontId="1" fillId="2" borderId="1" xfId="44" applyNumberFormat="1" applyBorder="1"/>
    <xf numFmtId="176" fontId="3" fillId="8" borderId="0" xfId="1" applyFont="1" applyFill="1"/>
    <xf numFmtId="0" fontId="8" fillId="0" borderId="1" xfId="0" applyFont="1" applyBorder="1" applyAlignment="1">
      <alignment vertical="center"/>
    </xf>
    <xf numFmtId="181" fontId="7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0" fontId="13" fillId="18" borderId="0" xfId="0" applyFont="1" applyFill="1" applyAlignment="1">
      <alignment vertical="center"/>
    </xf>
    <xf numFmtId="176" fontId="7" fillId="18" borderId="0" xfId="1" applyFont="1" applyFill="1" applyBorder="1" applyAlignment="1" applyProtection="1">
      <alignment vertical="center" wrapText="1"/>
    </xf>
    <xf numFmtId="0" fontId="23" fillId="19" borderId="0" xfId="49" applyBorder="1" applyProtection="1"/>
    <xf numFmtId="176" fontId="24" fillId="18" borderId="0" xfId="1" applyFont="1" applyFill="1" applyBorder="1" applyAlignment="1" applyProtection="1">
      <alignment vertical="center" wrapText="1"/>
    </xf>
    <xf numFmtId="176" fontId="13" fillId="20" borderId="21" xfId="1" applyFont="1" applyFill="1" applyBorder="1" applyAlignment="1" applyProtection="1">
      <alignment vertical="center" wrapText="1"/>
    </xf>
    <xf numFmtId="176" fontId="25" fillId="21" borderId="0" xfId="23" applyNumberFormat="1" applyAlignment="1">
      <alignment vertical="center"/>
    </xf>
    <xf numFmtId="0" fontId="26" fillId="0" borderId="0" xfId="0" applyFont="1" applyAlignment="1">
      <alignment vertical="center"/>
    </xf>
    <xf numFmtId="176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58" fontId="7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7" fontId="3" fillId="13" borderId="1" xfId="2" applyFont="1" applyFill="1" applyBorder="1" applyProtection="1"/>
    <xf numFmtId="177" fontId="7" fillId="0" borderId="0" xfId="0" applyNumberFormat="1" applyFont="1" applyAlignment="1">
      <alignment vertical="center"/>
    </xf>
    <xf numFmtId="177" fontId="29" fillId="13" borderId="1" xfId="2" applyFont="1" applyFill="1" applyBorder="1" applyProtection="1"/>
    <xf numFmtId="177" fontId="29" fillId="0" borderId="1" xfId="2" applyFont="1" applyBorder="1" applyProtection="1"/>
    <xf numFmtId="177" fontId="1" fillId="2" borderId="1" xfId="44" applyNumberFormat="1" applyBorder="1" applyProtection="1"/>
    <xf numFmtId="177" fontId="30" fillId="22" borderId="0" xfId="51" applyNumberFormat="1" applyFont="1" applyBorder="1" applyAlignment="1" applyProtection="1">
      <alignment horizontal="center" vertical="center"/>
    </xf>
    <xf numFmtId="177" fontId="1" fillId="2" borderId="1" xfId="44" applyNumberFormat="1" applyBorder="1" applyAlignment="1" applyProtection="1">
      <alignment vertical="center"/>
    </xf>
    <xf numFmtId="0" fontId="7" fillId="0" borderId="20" xfId="0" applyFont="1" applyBorder="1" applyAlignment="1">
      <alignment vertical="center"/>
    </xf>
    <xf numFmtId="177" fontId="31" fillId="23" borderId="1" xfId="49" applyNumberFormat="1" applyFont="1" applyFill="1" applyBorder="1" applyProtection="1"/>
    <xf numFmtId="0" fontId="16" fillId="0" borderId="0" xfId="0" applyFont="1" applyAlignment="1">
      <alignment vertical="center"/>
    </xf>
    <xf numFmtId="176" fontId="0" fillId="24" borderId="1" xfId="0" applyNumberFormat="1" applyFill="1" applyBorder="1"/>
    <xf numFmtId="43" fontId="7" fillId="0" borderId="0" xfId="0" applyNumberFormat="1" applyFont="1" applyAlignment="1">
      <alignment vertical="center"/>
    </xf>
    <xf numFmtId="0" fontId="13" fillId="0" borderId="22" xfId="0" applyFont="1" applyBorder="1" applyAlignment="1">
      <alignment vertical="center"/>
    </xf>
    <xf numFmtId="176" fontId="7" fillId="0" borderId="23" xfId="1" applyFont="1" applyBorder="1" applyAlignment="1" applyProtection="1">
      <alignment vertical="center"/>
    </xf>
    <xf numFmtId="0" fontId="7" fillId="0" borderId="9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0" fontId="7" fillId="25" borderId="24" xfId="0" applyFont="1" applyFill="1" applyBorder="1" applyAlignment="1">
      <alignment vertical="center"/>
    </xf>
    <xf numFmtId="176" fontId="7" fillId="25" borderId="0" xfId="0" applyNumberFormat="1" applyFont="1" applyFill="1" applyAlignment="1">
      <alignment vertical="center"/>
    </xf>
    <xf numFmtId="0" fontId="7" fillId="25" borderId="25" xfId="0" applyFont="1" applyFill="1" applyBorder="1" applyAlignment="1">
      <alignment vertical="center"/>
    </xf>
    <xf numFmtId="0" fontId="7" fillId="25" borderId="0" xfId="0" applyFont="1" applyFill="1" applyAlignment="1">
      <alignment vertical="center"/>
    </xf>
    <xf numFmtId="176" fontId="7" fillId="25" borderId="25" xfId="0" applyNumberFormat="1" applyFont="1" applyFill="1" applyBorder="1" applyAlignment="1">
      <alignment vertical="center"/>
    </xf>
    <xf numFmtId="43" fontId="9" fillId="0" borderId="21" xfId="0" applyNumberFormat="1" applyFont="1" applyBorder="1" applyAlignment="1">
      <alignment vertical="center"/>
    </xf>
    <xf numFmtId="43" fontId="9" fillId="0" borderId="26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5" fillId="0" borderId="0" xfId="6" quotePrefix="1"/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Bad" xfId="49"/>
    <cellStyle name="Excel Built-in Check Cell" xfId="50"/>
    <cellStyle name="Excel Built-in Good" xfId="51"/>
    <cellStyle name="Excel Built-in Heading 1" xfId="52"/>
    <cellStyle name="Excel Built-in Neutral" xfId="53"/>
    <cellStyle name="Normal 2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9C6500"/>
      <rgbColor rgb="00800080"/>
      <rgbColor rgb="00008080"/>
      <rgbColor rgb="00D0CECE"/>
      <rgbColor rgb="005B9BD5"/>
      <rgbColor rgb="00A6A6A6"/>
      <rgbColor rgb="00993366"/>
      <rgbColor rgb="00F2F2F2"/>
      <rgbColor rgb="00DEEBF7"/>
      <rgbColor rgb="00660066"/>
      <rgbColor rgb="00FF8080"/>
      <rgbColor rgb="000066CC"/>
      <rgbColor rgb="00DBDBDB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AE3F3"/>
      <rgbColor rgb="00C6EFCE"/>
      <rgbColor rgb="00FFEB9C"/>
      <rgbColor rgb="00EDEDED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44546A"/>
      <rgbColor rgb="00A5A5A5"/>
      <rgbColor rgb="00003366"/>
      <rgbColor rgb="00339966"/>
      <rgbColor rgb="00003300"/>
      <rgbColor rgb="00333300"/>
      <rgbColor rgb="00993300"/>
      <rgbColor rgb="00993366"/>
      <rgbColor rgb="00333399"/>
      <rgbColor rgb="00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man.bhadouriya\Desktop\180143\Vision%20calcul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Business Scenario"/>
      <sheetName val="Test Finance - Sample (2)"/>
      <sheetName val="TP Coupons"/>
      <sheetName val="Coupons"/>
      <sheetName val="Vision Entry TP"/>
      <sheetName val="Vision Entry"/>
      <sheetName val="Control"/>
      <sheetName val="Data - MIB"/>
      <sheetName val="Backup"/>
      <sheetName val="Data - Compete"/>
      <sheetName val="Test Finance - Sample"/>
      <sheetName val="Revised -Interest Control"/>
      <sheetName val="Test - Due from Client"/>
      <sheetName val="Test - Due from Insurer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B4">
            <v>3</v>
          </cell>
          <cell r="C4">
            <v>0.1099</v>
          </cell>
          <cell r="D4">
            <v>0.09</v>
          </cell>
          <cell r="E4">
            <v>5000</v>
          </cell>
        </row>
        <row r="5">
          <cell r="B5">
            <v>4</v>
          </cell>
          <cell r="C5">
            <v>0.12</v>
          </cell>
          <cell r="D5">
            <v>0.1</v>
          </cell>
          <cell r="E5">
            <v>5000</v>
          </cell>
        </row>
        <row r="6">
          <cell r="B6">
            <v>5</v>
          </cell>
          <cell r="C6">
            <v>0.13</v>
          </cell>
          <cell r="D6">
            <v>0.11</v>
          </cell>
          <cell r="E6">
            <v>5000</v>
          </cell>
        </row>
        <row r="7">
          <cell r="B7">
            <v>6</v>
          </cell>
          <cell r="C7">
            <v>0.14</v>
          </cell>
          <cell r="D7">
            <v>0.12</v>
          </cell>
          <cell r="E7">
            <v>6000</v>
          </cell>
        </row>
        <row r="8">
          <cell r="B8">
            <v>7</v>
          </cell>
          <cell r="C8">
            <v>0.15</v>
          </cell>
          <cell r="D8">
            <v>0.13</v>
          </cell>
          <cell r="E8">
            <v>6000</v>
          </cell>
        </row>
        <row r="9">
          <cell r="B9">
            <v>8</v>
          </cell>
          <cell r="C9">
            <v>0.16</v>
          </cell>
          <cell r="D9">
            <v>0.14</v>
          </cell>
          <cell r="E9">
            <v>6000</v>
          </cell>
        </row>
        <row r="10">
          <cell r="B10">
            <v>9</v>
          </cell>
          <cell r="C10">
            <v>0.17</v>
          </cell>
          <cell r="D10">
            <v>0.15</v>
          </cell>
          <cell r="E10">
            <v>6000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opLeftCell="A39" workbookViewId="0">
      <selection activeCell="D58" sqref="D58"/>
    </sheetView>
  </sheetViews>
  <sheetFormatPr defaultColWidth="9.14285714285714" defaultRowHeight="15.75"/>
  <cols>
    <col min="1" max="1" width="10.4285714285714" style="24" customWidth="1"/>
    <col min="2" max="2" width="46.8571428571429" style="22" customWidth="1"/>
    <col min="3" max="3" width="39.1428571428571" style="22" customWidth="1"/>
    <col min="4" max="4" width="23.1428571428571" style="22" customWidth="1"/>
    <col min="5" max="5" width="27.7142857142857" style="25" customWidth="1"/>
    <col min="6" max="6" width="17" style="22" customWidth="1"/>
    <col min="7" max="7" width="26.7142857142857" style="22" customWidth="1"/>
    <col min="8" max="8" width="0.857142857142857" style="22" hidden="1" customWidth="1"/>
    <col min="9" max="9" width="35.7142857142857" style="26" customWidth="1"/>
    <col min="10" max="10" width="21.1428571428571" style="22" customWidth="1"/>
    <col min="11" max="11" width="20.8571428571429" style="22" customWidth="1"/>
    <col min="12" max="12" width="18.2857142857143" style="22" customWidth="1"/>
    <col min="13" max="13" width="30" style="22" customWidth="1"/>
    <col min="14" max="1024" width="9.14285714285714" style="22"/>
  </cols>
  <sheetData>
    <row r="1" s="21" customFormat="1" ht="21" spans="1:12">
      <c r="A1" s="27"/>
      <c r="B1" s="28" t="s">
        <v>0</v>
      </c>
      <c r="E1" s="29"/>
      <c r="I1" s="112"/>
      <c r="J1" s="113"/>
      <c r="K1" s="114"/>
      <c r="L1" s="114"/>
    </row>
    <row r="2" s="21" customFormat="1" ht="21" spans="1:12">
      <c r="A2" s="27"/>
      <c r="B2" s="28" t="s">
        <v>1</v>
      </c>
      <c r="C2" s="21" t="s">
        <v>2</v>
      </c>
      <c r="E2" s="29" t="s">
        <v>3</v>
      </c>
      <c r="F2" s="30">
        <v>0.15</v>
      </c>
      <c r="I2" s="112"/>
      <c r="J2" s="113"/>
      <c r="K2" s="114"/>
      <c r="L2" s="114"/>
    </row>
    <row r="3" s="21" customFormat="1" ht="21" spans="1:12">
      <c r="A3" s="27"/>
      <c r="B3" s="28" t="s">
        <v>4</v>
      </c>
      <c r="C3" s="21" t="s">
        <v>5</v>
      </c>
      <c r="I3" s="112"/>
      <c r="J3" s="113"/>
      <c r="K3" s="114"/>
      <c r="L3" s="114"/>
    </row>
    <row r="4" s="21" customFormat="1" ht="21" spans="1:12">
      <c r="A4" s="27"/>
      <c r="B4" s="28" t="s">
        <v>6</v>
      </c>
      <c r="C4" s="31">
        <v>32000</v>
      </c>
      <c r="E4" s="29"/>
      <c r="I4" s="112"/>
      <c r="J4" s="113"/>
      <c r="K4" s="114"/>
      <c r="L4" s="114"/>
    </row>
    <row r="5" s="21" customFormat="1" ht="21" spans="1:12">
      <c r="A5" s="27"/>
      <c r="B5" s="28" t="s">
        <v>7</v>
      </c>
      <c r="C5" s="31">
        <f>+C4*F2</f>
        <v>4800</v>
      </c>
      <c r="E5" s="29"/>
      <c r="I5" s="112"/>
      <c r="J5" s="113"/>
      <c r="K5" s="114"/>
      <c r="L5" s="114"/>
    </row>
    <row r="6" s="21" customFormat="1" ht="21" spans="1:12">
      <c r="A6" s="27"/>
      <c r="B6" s="28" t="s">
        <v>8</v>
      </c>
      <c r="C6" s="32">
        <v>3200</v>
      </c>
      <c r="E6" s="29"/>
      <c r="I6" s="112"/>
      <c r="J6" s="113"/>
      <c r="K6" s="114"/>
      <c r="L6" s="114"/>
    </row>
    <row r="7" s="21" customFormat="1" ht="21" spans="1:12">
      <c r="A7" s="27"/>
      <c r="B7" s="28" t="s">
        <v>9</v>
      </c>
      <c r="C7" s="32">
        <f>+C6*F2</f>
        <v>480</v>
      </c>
      <c r="E7" s="29"/>
      <c r="I7" s="112"/>
      <c r="J7" s="113"/>
      <c r="K7" s="114"/>
      <c r="L7" s="114"/>
    </row>
    <row r="8" s="21" customFormat="1" ht="21" spans="1:12">
      <c r="A8" s="27"/>
      <c r="B8" s="33" t="s">
        <v>10</v>
      </c>
      <c r="C8" s="32">
        <v>200</v>
      </c>
      <c r="E8" s="29"/>
      <c r="I8" s="112"/>
      <c r="J8" s="113"/>
      <c r="K8" s="114"/>
      <c r="L8" s="114"/>
    </row>
    <row r="9" s="21" customFormat="1" ht="21" spans="1:12">
      <c r="A9" s="27"/>
      <c r="B9" s="28" t="s">
        <v>11</v>
      </c>
      <c r="C9" s="34">
        <f>SUM(C4:C8)</f>
        <v>40680</v>
      </c>
      <c r="E9" s="29"/>
      <c r="I9" s="112"/>
      <c r="J9" s="113"/>
      <c r="K9" s="114"/>
      <c r="L9" s="114"/>
    </row>
    <row r="10" s="21" customFormat="1" ht="21" spans="1:12">
      <c r="A10" s="27"/>
      <c r="E10" s="29"/>
      <c r="I10" s="112"/>
      <c r="J10" s="113"/>
      <c r="K10" s="114"/>
      <c r="L10" s="114"/>
    </row>
    <row r="11" s="21" customFormat="1" ht="21" spans="1:12">
      <c r="A11" s="27"/>
      <c r="B11" s="28"/>
      <c r="E11" s="29"/>
      <c r="I11" s="112"/>
      <c r="J11" s="31"/>
      <c r="K11" s="114"/>
      <c r="L11" s="114"/>
    </row>
    <row r="12" s="21" customFormat="1" ht="21" spans="1:12">
      <c r="A12" s="27"/>
      <c r="B12" s="28"/>
      <c r="E12" s="29"/>
      <c r="I12" s="112"/>
      <c r="J12" s="114"/>
      <c r="K12" s="114"/>
      <c r="L12" s="114"/>
    </row>
    <row r="13" s="21" customFormat="1" ht="11.25" customHeight="1" spans="1:12">
      <c r="A13" s="35"/>
      <c r="E13" s="29"/>
      <c r="I13" s="24" t="s">
        <v>12</v>
      </c>
      <c r="J13" s="24" t="s">
        <v>13</v>
      </c>
      <c r="K13" s="114"/>
      <c r="L13" s="114"/>
    </row>
    <row r="14" ht="31.5" customHeight="1" spans="1:7">
      <c r="A14" s="24" t="s">
        <v>12</v>
      </c>
      <c r="D14" s="24" t="s">
        <v>13</v>
      </c>
      <c r="E14" s="36" t="s">
        <v>14</v>
      </c>
      <c r="F14" s="36"/>
      <c r="G14" s="37" t="s">
        <v>15</v>
      </c>
    </row>
    <row r="15" ht="21" customHeight="1" spans="1:10">
      <c r="A15" s="24">
        <v>1</v>
      </c>
      <c r="B15" s="38" t="s">
        <v>16</v>
      </c>
      <c r="C15" s="39">
        <v>80000</v>
      </c>
      <c r="D15" s="24" t="s">
        <v>17</v>
      </c>
      <c r="E15" s="40"/>
      <c r="F15" s="41"/>
      <c r="G15" s="42">
        <v>3</v>
      </c>
      <c r="I15" s="24">
        <v>27</v>
      </c>
      <c r="J15" s="115"/>
    </row>
    <row r="16" ht="54" customHeight="1" spans="1:9">
      <c r="A16" s="24">
        <v>2</v>
      </c>
      <c r="B16" s="38" t="s">
        <v>18</v>
      </c>
      <c r="C16" s="43" t="s">
        <v>19</v>
      </c>
      <c r="D16" s="24" t="s">
        <v>20</v>
      </c>
      <c r="E16" s="44" t="s">
        <v>21</v>
      </c>
      <c r="F16" s="45">
        <f>G15+C25</f>
        <v>14</v>
      </c>
      <c r="I16" s="24">
        <v>28</v>
      </c>
    </row>
    <row r="17" ht="49.5" customHeight="1" spans="1:10">
      <c r="A17" s="24">
        <v>3</v>
      </c>
      <c r="B17" s="38" t="s">
        <v>22</v>
      </c>
      <c r="C17" s="46">
        <v>45296</v>
      </c>
      <c r="D17" s="24" t="s">
        <v>23</v>
      </c>
      <c r="E17" s="44" t="s">
        <v>24</v>
      </c>
      <c r="F17" s="46">
        <f>C20+F16</f>
        <v>45341</v>
      </c>
      <c r="I17" s="24">
        <v>28</v>
      </c>
      <c r="J17" s="24" t="s">
        <v>25</v>
      </c>
    </row>
    <row r="18" s="22" customFormat="1" ht="35.25" customHeight="1" spans="1:9">
      <c r="A18" s="24">
        <v>4</v>
      </c>
      <c r="B18" s="38" t="s">
        <v>26</v>
      </c>
      <c r="C18" s="47">
        <v>9</v>
      </c>
      <c r="D18" s="24" t="s">
        <v>27</v>
      </c>
      <c r="E18" s="44" t="s">
        <v>28</v>
      </c>
      <c r="F18" s="38">
        <f>C18*30</f>
        <v>270</v>
      </c>
      <c r="I18" s="24">
        <v>30</v>
      </c>
    </row>
    <row r="19" s="22" customFormat="1" ht="38.25" customHeight="1" spans="1:9">
      <c r="A19" s="24">
        <v>5</v>
      </c>
      <c r="B19" s="38" t="s">
        <v>29</v>
      </c>
      <c r="C19" s="46">
        <f>EDATE(C17,C18)</f>
        <v>45570</v>
      </c>
      <c r="D19" s="24" t="s">
        <v>30</v>
      </c>
      <c r="E19" s="44" t="s">
        <v>31</v>
      </c>
      <c r="F19" s="38">
        <f>DAYS360(C17,F17)</f>
        <v>44</v>
      </c>
      <c r="I19" s="24">
        <v>31</v>
      </c>
    </row>
    <row r="20" s="22" customFormat="1" spans="1:9">
      <c r="A20" s="24">
        <v>6</v>
      </c>
      <c r="B20" s="38" t="s">
        <v>32</v>
      </c>
      <c r="C20" s="46">
        <f>EDATE(C17,1)</f>
        <v>45327</v>
      </c>
      <c r="D20" s="24" t="s">
        <v>33</v>
      </c>
      <c r="E20" s="44" t="s">
        <v>34</v>
      </c>
      <c r="F20" s="38">
        <v>365</v>
      </c>
      <c r="I20" s="24">
        <v>32</v>
      </c>
    </row>
    <row r="21" s="22" customFormat="1" spans="1:9">
      <c r="A21" s="24"/>
      <c r="D21" s="24"/>
      <c r="E21" s="44" t="s">
        <v>35</v>
      </c>
      <c r="F21" s="38">
        <f>F20-F19</f>
        <v>321</v>
      </c>
      <c r="I21" s="24">
        <v>34</v>
      </c>
    </row>
    <row r="22" s="22" customFormat="1" ht="16.5" spans="1:9">
      <c r="A22" s="24"/>
      <c r="D22" s="24"/>
      <c r="E22" s="48"/>
      <c r="I22" s="26"/>
    </row>
    <row r="23" s="22" customFormat="1" ht="16.5" spans="1:9">
      <c r="A23" s="24"/>
      <c r="B23" s="49" t="s">
        <v>36</v>
      </c>
      <c r="C23" s="49"/>
      <c r="D23" s="50"/>
      <c r="E23" s="51" t="s">
        <v>37</v>
      </c>
      <c r="F23" s="52"/>
      <c r="I23" s="24"/>
    </row>
    <row r="24" ht="72" customHeight="1" spans="2:9">
      <c r="B24" s="53"/>
      <c r="C24" s="54" t="str">
        <f>CONCATENATE("When policy is cancelled at ",C25," day(s)")</f>
        <v>When policy is cancelled at 11 day(s)</v>
      </c>
      <c r="D24" s="55"/>
      <c r="E24" s="56" t="s">
        <v>38</v>
      </c>
      <c r="F24" s="57">
        <f>(C27)/F20*(C36)</f>
        <v>71013.698630137</v>
      </c>
      <c r="I24" s="24">
        <v>35</v>
      </c>
    </row>
    <row r="25" ht="47.25" spans="1:9">
      <c r="A25" s="24">
        <v>7</v>
      </c>
      <c r="B25" s="38" t="s">
        <v>39</v>
      </c>
      <c r="C25" s="58">
        <v>11</v>
      </c>
      <c r="D25" s="24"/>
      <c r="E25" s="59" t="s">
        <v>40</v>
      </c>
      <c r="F25" s="60">
        <f>F24*C47</f>
        <v>10652.0547945205</v>
      </c>
      <c r="I25" s="24">
        <v>36</v>
      </c>
    </row>
    <row r="26" ht="48" spans="1:9">
      <c r="A26" s="24">
        <v>8</v>
      </c>
      <c r="B26" s="38" t="s">
        <v>41</v>
      </c>
      <c r="C26" s="61">
        <f>IF((DATE(YEAR(C17),MONTH(C17)+1,DAY(C17)+C25))-C17&lt;&gt;41,41,41)</f>
        <v>41</v>
      </c>
      <c r="D26" s="24"/>
      <c r="E26" s="62" t="s">
        <v>42</v>
      </c>
      <c r="F26" s="63">
        <f>SUM(F24:F25)</f>
        <v>81665.7534246575</v>
      </c>
      <c r="G26" s="64"/>
      <c r="I26" s="24">
        <v>37</v>
      </c>
    </row>
    <row r="27" spans="1:7">
      <c r="A27" s="24">
        <v>9</v>
      </c>
      <c r="B27" s="38" t="s">
        <v>43</v>
      </c>
      <c r="C27" s="61">
        <f>F20-C26</f>
        <v>324</v>
      </c>
      <c r="D27" s="24"/>
      <c r="E27" s="22"/>
      <c r="G27" s="64"/>
    </row>
    <row r="28" spans="1:7">
      <c r="A28" s="24">
        <v>10</v>
      </c>
      <c r="B28" s="38" t="s">
        <v>44</v>
      </c>
      <c r="C28" s="46">
        <f>(DATE(YEAR(C17),MONTH(C17)+1,DAY(C17)+C25))</f>
        <v>45338</v>
      </c>
      <c r="D28" s="24"/>
      <c r="E28" s="65" t="s">
        <v>45</v>
      </c>
      <c r="F28" s="66"/>
      <c r="G28" s="64"/>
    </row>
    <row r="29" spans="1:10">
      <c r="A29" s="24">
        <v>11</v>
      </c>
      <c r="B29" s="67" t="s">
        <v>46</v>
      </c>
      <c r="C29" s="68">
        <f>IF(F16&lt;C25,((C26-F19)/C26)*(C41),IF(F16=C25,((C59-C63)-(C54+C55)),(((F20-C26)/F20*(C36))*(1+C47)-C63)*(-1)))</f>
        <v>0</v>
      </c>
      <c r="D29" s="24" t="s">
        <v>47</v>
      </c>
      <c r="E29" s="69" t="s">
        <v>48</v>
      </c>
      <c r="F29" s="70">
        <f>C44/C18</f>
        <v>9073.97260273973</v>
      </c>
      <c r="I29" s="24">
        <v>38</v>
      </c>
      <c r="J29" s="24" t="s">
        <v>49</v>
      </c>
    </row>
    <row r="30" spans="1:10">
      <c r="A30" s="24">
        <v>12</v>
      </c>
      <c r="B30" s="38" t="s">
        <v>50</v>
      </c>
      <c r="C30" s="68">
        <f>C57</f>
        <v>16731.9452054794</v>
      </c>
      <c r="D30" s="50"/>
      <c r="E30" s="71" t="s">
        <v>51</v>
      </c>
      <c r="F30" s="70">
        <f>+C54/C18</f>
        <v>1154.41095890411</v>
      </c>
      <c r="G30" s="72"/>
      <c r="I30" s="116">
        <v>39</v>
      </c>
      <c r="J30" s="24" t="s">
        <v>49</v>
      </c>
    </row>
    <row r="31" spans="1:6">
      <c r="A31" s="24">
        <v>13</v>
      </c>
      <c r="B31" s="38" t="s">
        <v>52</v>
      </c>
      <c r="C31" s="68">
        <f>+C43</f>
        <v>81665.7534246575</v>
      </c>
      <c r="D31" s="50" t="s">
        <v>53</v>
      </c>
      <c r="E31" s="73" t="s">
        <v>54</v>
      </c>
      <c r="F31" s="74">
        <f>F29+F30</f>
        <v>10228.3835616438</v>
      </c>
    </row>
    <row r="32" spans="1:5">
      <c r="A32" s="24">
        <v>14</v>
      </c>
      <c r="B32" s="38" t="s">
        <v>55</v>
      </c>
      <c r="C32" s="68">
        <f>F31</f>
        <v>10228.3835616438</v>
      </c>
      <c r="D32" s="50"/>
      <c r="E32" s="72"/>
    </row>
    <row r="33" spans="5:5">
      <c r="E33" s="22"/>
    </row>
    <row r="34" ht="16.5" spans="6:10">
      <c r="F34" s="72"/>
      <c r="G34" s="38"/>
      <c r="H34" s="75" t="s">
        <v>56</v>
      </c>
      <c r="I34" s="75"/>
      <c r="J34" s="38" t="s">
        <v>57</v>
      </c>
    </row>
    <row r="35" ht="16.5" spans="3:10">
      <c r="C35" s="76" t="s">
        <v>58</v>
      </c>
      <c r="D35" s="77" t="s">
        <v>59</v>
      </c>
      <c r="E35" s="22"/>
      <c r="G35" s="38"/>
      <c r="H35" s="6"/>
      <c r="I35" s="117"/>
      <c r="J35" s="38"/>
    </row>
    <row r="36" spans="2:10">
      <c r="B36" s="78" t="s">
        <v>6</v>
      </c>
      <c r="C36" s="79">
        <f>C15</f>
        <v>80000</v>
      </c>
      <c r="E36" s="72"/>
      <c r="G36" s="80" t="s">
        <v>6</v>
      </c>
      <c r="H36" s="81" t="s">
        <v>60</v>
      </c>
      <c r="I36" s="118">
        <f>C36</f>
        <v>80000</v>
      </c>
      <c r="J36" s="80" t="s">
        <v>61</v>
      </c>
    </row>
    <row r="37" spans="2:10">
      <c r="B37" s="78" t="s">
        <v>62</v>
      </c>
      <c r="C37" s="79">
        <f>C36*C47</f>
        <v>12000</v>
      </c>
      <c r="E37" s="72"/>
      <c r="G37" s="80" t="s">
        <v>62</v>
      </c>
      <c r="H37" s="81" t="s">
        <v>8</v>
      </c>
      <c r="I37" s="118">
        <f>C37</f>
        <v>12000</v>
      </c>
      <c r="J37" s="80" t="s">
        <v>63</v>
      </c>
    </row>
    <row r="38" spans="2:12">
      <c r="B38" s="78" t="s">
        <v>8</v>
      </c>
      <c r="C38" s="79">
        <v>3200</v>
      </c>
      <c r="E38" s="22"/>
      <c r="G38" s="80" t="s">
        <v>8</v>
      </c>
      <c r="H38" s="81" t="s">
        <v>10</v>
      </c>
      <c r="I38" s="118">
        <f>C38</f>
        <v>3200</v>
      </c>
      <c r="J38" s="80" t="s">
        <v>64</v>
      </c>
      <c r="L38" s="119"/>
    </row>
    <row r="39" spans="2:12">
      <c r="B39" s="78" t="s">
        <v>65</v>
      </c>
      <c r="C39" s="79">
        <f>C38*C47</f>
        <v>480</v>
      </c>
      <c r="E39" s="22"/>
      <c r="G39" s="80" t="s">
        <v>66</v>
      </c>
      <c r="H39" s="81" t="s">
        <v>67</v>
      </c>
      <c r="I39" s="118">
        <f>C39</f>
        <v>480</v>
      </c>
      <c r="J39" s="80" t="s">
        <v>63</v>
      </c>
      <c r="L39" s="119"/>
    </row>
    <row r="40" spans="2:12">
      <c r="B40" s="78" t="s">
        <v>10</v>
      </c>
      <c r="C40" s="82">
        <v>200</v>
      </c>
      <c r="E40" s="72"/>
      <c r="F40" s="72"/>
      <c r="G40" s="80" t="s">
        <v>10</v>
      </c>
      <c r="H40" s="81" t="s">
        <v>68</v>
      </c>
      <c r="I40" s="120">
        <f>C40</f>
        <v>200</v>
      </c>
      <c r="J40" s="80" t="s">
        <v>69</v>
      </c>
      <c r="L40" s="119"/>
    </row>
    <row r="41" spans="1:10">
      <c r="A41" s="24">
        <v>15</v>
      </c>
      <c r="B41" s="83" t="s">
        <v>70</v>
      </c>
      <c r="C41" s="84">
        <f>SUM(C36:C40)</f>
        <v>95880</v>
      </c>
      <c r="D41" s="24" t="s">
        <v>71</v>
      </c>
      <c r="E41" s="72"/>
      <c r="F41" s="72"/>
      <c r="G41" s="38"/>
      <c r="H41" s="85" t="s">
        <v>72</v>
      </c>
      <c r="I41" s="121"/>
      <c r="J41" s="38"/>
    </row>
    <row r="42" spans="3:11">
      <c r="C42" s="25"/>
      <c r="D42" s="24"/>
      <c r="E42" s="24" t="s">
        <v>73</v>
      </c>
      <c r="F42" s="24">
        <v>40</v>
      </c>
      <c r="G42" s="86" t="s">
        <v>74</v>
      </c>
      <c r="H42" s="86" t="s">
        <v>75</v>
      </c>
      <c r="I42" s="122">
        <f>MAX((C57-C56)-C51,(D57-C56)-C51)</f>
        <v>14214.2465753425</v>
      </c>
      <c r="J42" s="38" t="s">
        <v>76</v>
      </c>
      <c r="K42" s="123" t="s">
        <v>77</v>
      </c>
    </row>
    <row r="43" spans="1:12">
      <c r="A43" s="24">
        <v>16</v>
      </c>
      <c r="B43" s="87" t="s">
        <v>78</v>
      </c>
      <c r="C43" s="88">
        <f>MIN(C63)</f>
        <v>81665.7534246575</v>
      </c>
      <c r="D43" s="24" t="s">
        <v>79</v>
      </c>
      <c r="E43" s="88"/>
      <c r="F43" s="72"/>
      <c r="G43" s="89" t="s">
        <v>80</v>
      </c>
      <c r="H43" s="90" t="s">
        <v>81</v>
      </c>
      <c r="I43" s="122">
        <f>C51</f>
        <v>1860.16438356164</v>
      </c>
      <c r="J43" s="38" t="s">
        <v>82</v>
      </c>
      <c r="K43" s="123" t="s">
        <v>77</v>
      </c>
      <c r="L43" s="119"/>
    </row>
    <row r="44" spans="2:11">
      <c r="B44" s="22" t="s">
        <v>83</v>
      </c>
      <c r="C44" s="25">
        <f>+C43</f>
        <v>81665.7534246575</v>
      </c>
      <c r="D44" s="24"/>
      <c r="E44" s="91"/>
      <c r="F44" s="72"/>
      <c r="G44" s="89" t="s">
        <v>84</v>
      </c>
      <c r="H44" s="38"/>
      <c r="I44" s="124">
        <f>C56</f>
        <v>657.534246575342</v>
      </c>
      <c r="J44" s="38" t="s">
        <v>85</v>
      </c>
      <c r="K44" s="123" t="s">
        <v>77</v>
      </c>
    </row>
    <row r="45" spans="3:13">
      <c r="C45" s="25"/>
      <c r="D45" s="24"/>
      <c r="E45" s="91"/>
      <c r="F45" s="72"/>
      <c r="G45" s="92"/>
      <c r="H45" s="6" t="s">
        <v>86</v>
      </c>
      <c r="I45" s="121"/>
      <c r="J45" s="38"/>
      <c r="M45" s="125"/>
    </row>
    <row r="46" spans="1:12">
      <c r="A46" s="24">
        <v>17</v>
      </c>
      <c r="B46" s="22" t="s">
        <v>87</v>
      </c>
      <c r="C46" s="93">
        <f>IF(C16="Third Party ",VLOOKUP(C18,'[1]Revised -Interest Control'!$B$4:$E$10,2,FALSE()),VLOOKUP(C18,'[1]Revised -Interest Control'!B4:E10,3,FALSE()))</f>
        <v>0.15</v>
      </c>
      <c r="D46" s="24" t="s">
        <v>88</v>
      </c>
      <c r="E46" s="91"/>
      <c r="G46" s="94" t="s">
        <v>89</v>
      </c>
      <c r="H46" s="38" t="s">
        <v>90</v>
      </c>
      <c r="I46" s="121">
        <f>$F$29</f>
        <v>9073.97260273973</v>
      </c>
      <c r="J46" s="38" t="s">
        <v>91</v>
      </c>
      <c r="L46" s="119"/>
    </row>
    <row r="47" spans="2:10">
      <c r="B47" s="22" t="s">
        <v>92</v>
      </c>
      <c r="C47" s="93">
        <v>0.15</v>
      </c>
      <c r="D47" s="24"/>
      <c r="E47" s="91"/>
      <c r="G47" s="94" t="s">
        <v>93</v>
      </c>
      <c r="H47" s="95" t="s">
        <v>94</v>
      </c>
      <c r="I47" s="126">
        <f>$F$30</f>
        <v>1154.41095890411</v>
      </c>
      <c r="J47" s="38" t="s">
        <v>82</v>
      </c>
    </row>
    <row r="48" spans="1:10">
      <c r="A48" s="24">
        <v>18</v>
      </c>
      <c r="B48" s="22" t="s">
        <v>95</v>
      </c>
      <c r="C48" s="25">
        <f>F18</f>
        <v>270</v>
      </c>
      <c r="D48" s="24" t="s">
        <v>96</v>
      </c>
      <c r="E48" s="91"/>
      <c r="G48" s="94" t="s">
        <v>97</v>
      </c>
      <c r="H48" s="38"/>
      <c r="I48" s="121">
        <f>F29</f>
        <v>9073.97260273973</v>
      </c>
      <c r="J48" s="38" t="s">
        <v>91</v>
      </c>
    </row>
    <row r="49" spans="1:10">
      <c r="A49" s="24">
        <v>19</v>
      </c>
      <c r="B49" s="22" t="s">
        <v>98</v>
      </c>
      <c r="C49" s="25">
        <f>C46*C43</f>
        <v>12249.8630136986</v>
      </c>
      <c r="D49" s="24" t="s">
        <v>99</v>
      </c>
      <c r="E49" s="91"/>
      <c r="F49" s="72"/>
      <c r="G49" s="94" t="s">
        <v>100</v>
      </c>
      <c r="H49" s="38"/>
      <c r="I49" s="121">
        <f>F30</f>
        <v>1154.41095890411</v>
      </c>
      <c r="J49" s="38" t="s">
        <v>82</v>
      </c>
    </row>
    <row r="50" spans="1:12">
      <c r="A50" s="24">
        <v>20</v>
      </c>
      <c r="B50" s="22" t="s">
        <v>101</v>
      </c>
      <c r="C50" s="96">
        <f>VLOOKUP(C18,'[1]Revised -Interest Control'!$B$4:$E$10,4,FALSE())</f>
        <v>6000</v>
      </c>
      <c r="D50" s="24" t="s">
        <v>102</v>
      </c>
      <c r="E50" s="97">
        <f>+C41-E53</f>
        <v>77054.12</v>
      </c>
      <c r="F50" s="72"/>
      <c r="G50" s="94" t="s">
        <v>103</v>
      </c>
      <c r="H50" s="38"/>
      <c r="I50" s="121">
        <f>F29</f>
        <v>9073.97260273973</v>
      </c>
      <c r="J50" s="38" t="s">
        <v>91</v>
      </c>
      <c r="L50" s="119"/>
    </row>
    <row r="51" spans="1:12">
      <c r="A51" s="24">
        <v>21</v>
      </c>
      <c r="B51" s="22" t="s">
        <v>104</v>
      </c>
      <c r="C51" s="25">
        <f>MAX((C26/C48)*C50,(C26/C48)*C49)</f>
        <v>1860.16438356164</v>
      </c>
      <c r="D51" s="24" t="s">
        <v>105</v>
      </c>
      <c r="E51" s="91"/>
      <c r="G51" s="94" t="s">
        <v>106</v>
      </c>
      <c r="H51" s="38"/>
      <c r="I51" s="121">
        <f>F30</f>
        <v>1154.41095890411</v>
      </c>
      <c r="J51" s="38" t="s">
        <v>82</v>
      </c>
      <c r="L51" s="119"/>
    </row>
    <row r="52" spans="3:12">
      <c r="C52" s="25"/>
      <c r="D52" s="24"/>
      <c r="E52" s="97"/>
      <c r="G52" s="94" t="str">
        <f>IF($C$18&gt;3,"Installment #4"," ")</f>
        <v>Installment #4</v>
      </c>
      <c r="H52" s="38"/>
      <c r="I52" s="121">
        <f>$F$29</f>
        <v>9073.97260273973</v>
      </c>
      <c r="J52" s="38" t="str">
        <f>IF(I52=" "," ","NEWF - FCIF Line")</f>
        <v>NEWF - FCIF Line</v>
      </c>
      <c r="L52" s="119"/>
    </row>
    <row r="53" spans="3:12">
      <c r="C53" s="25"/>
      <c r="D53" s="24"/>
      <c r="E53" s="10">
        <f>20000-911.11-263.01</f>
        <v>18825.88</v>
      </c>
      <c r="G53" s="94" t="str">
        <f>IF($C$18&gt;3,"Interest #4"," ")</f>
        <v>Interest #4</v>
      </c>
      <c r="H53" s="38"/>
      <c r="I53" s="126">
        <f>$F$30</f>
        <v>1154.41095890411</v>
      </c>
      <c r="J53" s="38" t="str">
        <f>IF(I53=" "," ","IPFI - FCIF Line")</f>
        <v>IPFI - FCIF Line</v>
      </c>
      <c r="L53" s="119"/>
    </row>
    <row r="54" spans="1:12">
      <c r="A54" s="24">
        <v>22</v>
      </c>
      <c r="B54" s="22" t="s">
        <v>107</v>
      </c>
      <c r="C54" s="25">
        <f>MAX(C50-C51,C49-C51)</f>
        <v>10389.698630137</v>
      </c>
      <c r="D54" s="24" t="s">
        <v>108</v>
      </c>
      <c r="E54" s="91"/>
      <c r="G54" s="94" t="str">
        <f>IF($C$18&gt;4,"Installment #5"," ")</f>
        <v>Installment #5</v>
      </c>
      <c r="H54" s="38"/>
      <c r="I54" s="121">
        <f>$F$29</f>
        <v>9073.97260273973</v>
      </c>
      <c r="J54" s="38" t="str">
        <f>IF(I54=" "," ","NEWF - FCIF Line")</f>
        <v>NEWF - FCIF Line</v>
      </c>
      <c r="L54" s="119"/>
    </row>
    <row r="55" spans="1:11">
      <c r="A55" s="24">
        <v>23</v>
      </c>
      <c r="B55" s="22" t="s">
        <v>109</v>
      </c>
      <c r="C55" s="25">
        <v>1800</v>
      </c>
      <c r="D55" s="24" t="s">
        <v>110</v>
      </c>
      <c r="E55" s="91"/>
      <c r="G55" s="94" t="str">
        <f>IF($C$18&gt;4,"Interest #5"," ")</f>
        <v>Interest #5</v>
      </c>
      <c r="H55" s="38"/>
      <c r="I55" s="126">
        <f>$F$30</f>
        <v>1154.41095890411</v>
      </c>
      <c r="J55" s="38" t="str">
        <f>IF(I55=" "," ","IPFI - FCIF Line")</f>
        <v>IPFI - FCIF Line</v>
      </c>
      <c r="K55" s="119"/>
    </row>
    <row r="56" ht="23.25" spans="1:10">
      <c r="A56" s="24">
        <v>24</v>
      </c>
      <c r="B56" s="22" t="s">
        <v>111</v>
      </c>
      <c r="C56" s="25">
        <f>((G15)/F20)*C36</f>
        <v>657.534246575342</v>
      </c>
      <c r="D56" s="24" t="s">
        <v>112</v>
      </c>
      <c r="E56" s="91"/>
      <c r="G56" s="94" t="str">
        <f>IF($C$18&gt;5,"Installment #6"," ")</f>
        <v>Installment #6</v>
      </c>
      <c r="H56" s="98"/>
      <c r="I56" s="121">
        <f>$F$29</f>
        <v>9073.97260273973</v>
      </c>
      <c r="J56" s="38" t="str">
        <f>IF(I56=" "," ","NEWF - FCIF Line")</f>
        <v>NEWF - FCIF Line</v>
      </c>
    </row>
    <row r="57" ht="23.25" spans="1:12">
      <c r="A57" s="24">
        <v>25</v>
      </c>
      <c r="B57" s="65" t="s">
        <v>50</v>
      </c>
      <c r="C57" s="99">
        <f>+C41-C63+C51+C56</f>
        <v>16731.9452054794</v>
      </c>
      <c r="D57" s="100">
        <v>0</v>
      </c>
      <c r="E57" s="24" t="s">
        <v>113</v>
      </c>
      <c r="F57" s="24" t="s">
        <v>114</v>
      </c>
      <c r="G57" s="94" t="str">
        <f>IF($C$18&gt;5,"Interest #6"," ")</f>
        <v>Interest #6</v>
      </c>
      <c r="H57" s="101"/>
      <c r="I57" s="126">
        <f>$F$30</f>
        <v>1154.41095890411</v>
      </c>
      <c r="J57" s="38" t="str">
        <f>IF(I57=" "," ","IPFI - FCIF Line")</f>
        <v>IPFI - FCIF Line</v>
      </c>
      <c r="L57" s="119"/>
    </row>
    <row r="58" ht="23.25" spans="3:10">
      <c r="C58" s="25"/>
      <c r="D58" s="102"/>
      <c r="E58"/>
      <c r="F58" s="72"/>
      <c r="G58" s="94" t="str">
        <f>IF($C$18&gt;6,"Installment #7"," ")</f>
        <v>Installment #7</v>
      </c>
      <c r="H58" s="101"/>
      <c r="I58" s="121">
        <f>$F$29</f>
        <v>9073.97260273973</v>
      </c>
      <c r="J58" s="38" t="str">
        <f>IF(I58=" "," ","NEWF - FCIF Line")</f>
        <v>NEWF - FCIF Line</v>
      </c>
    </row>
    <row r="59" s="23" customFormat="1" ht="23.25" spans="1:10">
      <c r="A59" s="103"/>
      <c r="B59" s="22" t="s">
        <v>115</v>
      </c>
      <c r="C59" s="104">
        <f>+C43+C54+C55-C56</f>
        <v>93197.9178082192</v>
      </c>
      <c r="G59" s="94" t="str">
        <f>IF($C$18&gt;6,"Interest #7"," ")</f>
        <v>Interest #7</v>
      </c>
      <c r="H59" s="38"/>
      <c r="I59" s="126">
        <f>$F$30</f>
        <v>1154.41095890411</v>
      </c>
      <c r="J59" s="38" t="str">
        <f>IF(I59=" "," ","IPFI - FCIF Line")</f>
        <v>IPFI - FCIF Line</v>
      </c>
    </row>
    <row r="60" s="23" customFormat="1" ht="23.25" spans="1:10">
      <c r="A60" s="103"/>
      <c r="B60" s="87"/>
      <c r="C60" s="25"/>
      <c r="G60" s="94" t="str">
        <f>IF($C$18&gt;7,"Installment #8"," ")</f>
        <v>Installment #8</v>
      </c>
      <c r="H60" s="105"/>
      <c r="I60" s="121">
        <f>$F$29</f>
        <v>9073.97260273973</v>
      </c>
      <c r="J60" s="38" t="str">
        <f>IF(I60=" "," ","NEWF - FCIF Line")</f>
        <v>NEWF - FCIF Line</v>
      </c>
    </row>
    <row r="61" s="23" customFormat="1" ht="23.25" spans="1:10">
      <c r="A61" s="103"/>
      <c r="B61" s="106" t="s">
        <v>116</v>
      </c>
      <c r="C61" s="107">
        <f>C27/F20*(C36)</f>
        <v>71013.698630137</v>
      </c>
      <c r="D61" s="25"/>
      <c r="F61" s="108">
        <v>30000</v>
      </c>
      <c r="G61" s="94" t="str">
        <f>IF($C$18&gt;7,"Interest #8"," ")</f>
        <v>Interest #8</v>
      </c>
      <c r="H61" s="105"/>
      <c r="I61" s="126">
        <f>$F$30</f>
        <v>1154.41095890411</v>
      </c>
      <c r="J61" s="38" t="str">
        <f>IF(I61=" "," ","IPFI - FCIF Line")</f>
        <v>IPFI - FCIF Line</v>
      </c>
    </row>
    <row r="62" spans="2:12">
      <c r="B62" s="106" t="s">
        <v>117</v>
      </c>
      <c r="C62" s="109">
        <f>C61*C47</f>
        <v>10652.0547945205</v>
      </c>
      <c r="E62" s="22"/>
      <c r="F62" s="72"/>
      <c r="G62" s="38" t="str">
        <f>IF($C$18&gt;8,"Installment #9"," ")</f>
        <v>Installment #9</v>
      </c>
      <c r="H62" s="38"/>
      <c r="I62" s="121">
        <f>$F$29</f>
        <v>9073.97260273973</v>
      </c>
      <c r="J62" s="38" t="str">
        <f>IF(I62=" "," ","NEWF - FCIF Line")</f>
        <v>NEWF - FCIF Line</v>
      </c>
      <c r="L62" s="22">
        <v>3815</v>
      </c>
    </row>
    <row r="63" ht="16.5" spans="1:12">
      <c r="A63" s="24">
        <v>26</v>
      </c>
      <c r="B63" s="87" t="s">
        <v>118</v>
      </c>
      <c r="C63" s="110">
        <f>SUM(C61:C62)</f>
        <v>81665.7534246575</v>
      </c>
      <c r="D63" s="24" t="s">
        <v>53</v>
      </c>
      <c r="E63" s="111" t="s">
        <v>119</v>
      </c>
      <c r="F63" s="111">
        <f>F61-C57</f>
        <v>13268.0547945206</v>
      </c>
      <c r="G63" s="38" t="str">
        <f>IF($C$18&gt;8,"Interest #9"," ")</f>
        <v>Interest #9</v>
      </c>
      <c r="H63" s="38"/>
      <c r="I63" s="126">
        <f>$F$30</f>
        <v>1154.41095890411</v>
      </c>
      <c r="J63" s="38" t="str">
        <f>IF(I63=" "," ","IPFI - FCIF Line")</f>
        <v>IPFI - FCIF Line</v>
      </c>
      <c r="L63" s="22">
        <f>L62*9%</f>
        <v>343.35</v>
      </c>
    </row>
    <row r="64" ht="16.5" spans="2:12">
      <c r="B64" s="87"/>
      <c r="C64" s="25"/>
      <c r="E64" s="72"/>
      <c r="L64" s="22">
        <v>343.35</v>
      </c>
    </row>
    <row r="65" spans="2:7">
      <c r="B65" s="127" t="s">
        <v>46</v>
      </c>
      <c r="C65" s="128">
        <f>SUM(C56:C56)</f>
        <v>657.534246575342</v>
      </c>
      <c r="E65" s="22" t="s">
        <v>120</v>
      </c>
      <c r="F65" s="129">
        <f>F63*0.15</f>
        <v>1990.20821917808</v>
      </c>
      <c r="G65" s="22" t="s">
        <v>121</v>
      </c>
    </row>
    <row r="66" spans="2:10">
      <c r="B66" s="87" t="s">
        <v>122</v>
      </c>
      <c r="C66" s="72"/>
      <c r="E66" s="22"/>
      <c r="J66" s="72"/>
    </row>
    <row r="67" s="22" customFormat="1" ht="16.5" spans="1:10">
      <c r="A67" s="24"/>
      <c r="F67" s="129">
        <f>F65/12</f>
        <v>165.850684931507</v>
      </c>
      <c r="I67" s="26"/>
      <c r="J67" s="88"/>
    </row>
    <row r="68" spans="2:11">
      <c r="B68" s="130"/>
      <c r="C68" s="131"/>
      <c r="D68" s="132"/>
      <c r="J68" s="72"/>
      <c r="K68" s="72"/>
    </row>
    <row r="69" spans="2:11">
      <c r="B69" s="133" t="s">
        <v>123</v>
      </c>
      <c r="C69" s="24" t="s">
        <v>124</v>
      </c>
      <c r="D69" s="134" t="s">
        <v>125</v>
      </c>
      <c r="J69" s="72"/>
      <c r="K69" s="88"/>
    </row>
    <row r="70" spans="2:11">
      <c r="B70" s="135"/>
      <c r="D70" s="136"/>
      <c r="K70" s="104"/>
    </row>
    <row r="71" spans="2:11">
      <c r="B71" s="135" t="s">
        <v>126</v>
      </c>
      <c r="C71" s="129">
        <f>+(C41+C56)+MAX(C49,C50)</f>
        <v>108787.397260274</v>
      </c>
      <c r="D71" s="136"/>
      <c r="K71" s="72"/>
    </row>
    <row r="72" spans="2:4">
      <c r="B72" s="135" t="s">
        <v>127</v>
      </c>
      <c r="D72" s="137">
        <f>+C41</f>
        <v>95880</v>
      </c>
    </row>
    <row r="73" spans="2:4">
      <c r="B73" s="135" t="s">
        <v>128</v>
      </c>
      <c r="D73" s="137">
        <f>+C56</f>
        <v>657.534246575342</v>
      </c>
    </row>
    <row r="74" spans="2:4">
      <c r="B74" s="135" t="s">
        <v>129</v>
      </c>
      <c r="D74" s="137">
        <f>MAX(C49,C50)</f>
        <v>12249.8630136986</v>
      </c>
    </row>
    <row r="75" spans="2:4">
      <c r="B75" s="135"/>
      <c r="D75" s="137"/>
    </row>
    <row r="76" spans="2:4">
      <c r="B76" s="133" t="s">
        <v>130</v>
      </c>
      <c r="D76" s="137"/>
    </row>
    <row r="77" spans="2:4">
      <c r="B77" s="135"/>
      <c r="D77" s="137"/>
    </row>
    <row r="78" spans="2:4">
      <c r="B78" s="135" t="s">
        <v>131</v>
      </c>
      <c r="C78" s="72">
        <f>MAX(C57,D57)</f>
        <v>16731.9452054794</v>
      </c>
      <c r="D78" s="137"/>
    </row>
    <row r="79" spans="2:4">
      <c r="B79" s="135" t="s">
        <v>132</v>
      </c>
      <c r="D79" s="137">
        <f>+C78</f>
        <v>16731.9452054794</v>
      </c>
    </row>
    <row r="80" spans="2:4">
      <c r="B80" s="135"/>
      <c r="D80" s="137"/>
    </row>
    <row r="81" spans="2:4">
      <c r="B81" s="135" t="s">
        <v>131</v>
      </c>
      <c r="C81" s="129">
        <f>+I46+I47</f>
        <v>10228.3835616438</v>
      </c>
      <c r="D81" s="137"/>
    </row>
    <row r="82" spans="2:4">
      <c r="B82" s="135" t="s">
        <v>132</v>
      </c>
      <c r="D82" s="137">
        <f>+C81</f>
        <v>10228.3835616438</v>
      </c>
    </row>
    <row r="83" spans="2:4">
      <c r="B83" s="135"/>
      <c r="D83" s="137"/>
    </row>
    <row r="84" spans="2:4">
      <c r="B84" s="133" t="s">
        <v>133</v>
      </c>
      <c r="D84" s="137"/>
    </row>
    <row r="85" spans="2:4">
      <c r="B85" s="138" t="s">
        <v>134</v>
      </c>
      <c r="C85" s="139">
        <f>+D72</f>
        <v>95880</v>
      </c>
      <c r="D85" s="140"/>
    </row>
    <row r="86" spans="2:4">
      <c r="B86" s="138" t="s">
        <v>131</v>
      </c>
      <c r="C86" s="141"/>
      <c r="D86" s="142">
        <f>+C85</f>
        <v>95880</v>
      </c>
    </row>
    <row r="87" spans="2:4">
      <c r="B87" s="135"/>
      <c r="D87" s="136"/>
    </row>
    <row r="88" spans="2:4">
      <c r="B88" s="133" t="s">
        <v>135</v>
      </c>
      <c r="D88" s="136"/>
    </row>
    <row r="89" spans="2:4">
      <c r="B89" s="135"/>
      <c r="D89" s="136"/>
    </row>
    <row r="90" spans="2:4">
      <c r="B90" s="135" t="s">
        <v>136</v>
      </c>
      <c r="C90" s="72">
        <f>+C55*1.15</f>
        <v>2070</v>
      </c>
      <c r="D90" s="137"/>
    </row>
    <row r="91" spans="2:4">
      <c r="B91" s="135" t="s">
        <v>137</v>
      </c>
      <c r="C91" s="72"/>
      <c r="D91" s="137">
        <f>+C55</f>
        <v>1800</v>
      </c>
    </row>
    <row r="92" spans="2:4">
      <c r="B92" s="135" t="s">
        <v>138</v>
      </c>
      <c r="C92" s="72"/>
      <c r="D92" s="137">
        <f>+D91*0.15</f>
        <v>270</v>
      </c>
    </row>
    <row r="93" spans="2:4">
      <c r="B93" s="135"/>
      <c r="C93" s="72"/>
      <c r="D93" s="137"/>
    </row>
    <row r="94" spans="2:4">
      <c r="B94" s="133" t="s">
        <v>139</v>
      </c>
      <c r="C94" s="72"/>
      <c r="D94" s="137"/>
    </row>
    <row r="95" spans="2:4">
      <c r="B95" s="135"/>
      <c r="C95" s="72"/>
      <c r="D95" s="137"/>
    </row>
    <row r="96" spans="2:4">
      <c r="B96" s="135" t="s">
        <v>127</v>
      </c>
      <c r="C96" s="72">
        <f>+C63</f>
        <v>81665.7534246575</v>
      </c>
      <c r="D96" s="137"/>
    </row>
    <row r="97" spans="2:4">
      <c r="B97" s="135" t="s">
        <v>126</v>
      </c>
      <c r="C97" s="72"/>
      <c r="D97" s="137">
        <f>+C96</f>
        <v>81665.7534246575</v>
      </c>
    </row>
    <row r="98" spans="2:4">
      <c r="B98" s="135"/>
      <c r="C98" s="72"/>
      <c r="D98" s="137"/>
    </row>
    <row r="99" spans="2:4">
      <c r="B99" s="135" t="s">
        <v>140</v>
      </c>
      <c r="C99" s="72">
        <f>+C54</f>
        <v>10389.698630137</v>
      </c>
      <c r="D99" s="137"/>
    </row>
    <row r="100" spans="2:4">
      <c r="B100" s="135" t="s">
        <v>126</v>
      </c>
      <c r="C100" s="72"/>
      <c r="D100" s="137">
        <f>+C99</f>
        <v>10389.698630137</v>
      </c>
    </row>
    <row r="101" spans="2:4">
      <c r="B101" s="135"/>
      <c r="C101" s="72"/>
      <c r="D101" s="137"/>
    </row>
    <row r="102" spans="2:4">
      <c r="B102" s="135"/>
      <c r="C102" s="72"/>
      <c r="D102" s="137"/>
    </row>
    <row r="103" spans="2:4">
      <c r="B103" s="135"/>
      <c r="C103" s="72"/>
      <c r="D103" s="137"/>
    </row>
    <row r="104" spans="2:4">
      <c r="B104" s="135"/>
      <c r="D104" s="136"/>
    </row>
    <row r="105" ht="16.5" spans="2:4">
      <c r="B105" s="135"/>
      <c r="C105" s="143">
        <f>SUM(C71:C104)</f>
        <v>325753.178082192</v>
      </c>
      <c r="D105" s="144">
        <f>SUM(D71:D104)</f>
        <v>325753.178082192</v>
      </c>
    </row>
    <row r="106" ht="16.5" spans="2:4">
      <c r="B106" s="135"/>
      <c r="C106" s="129">
        <f>+C105-D105</f>
        <v>0</v>
      </c>
      <c r="D106" s="136"/>
    </row>
    <row r="107" spans="2:4">
      <c r="B107" s="135"/>
      <c r="D107" s="136"/>
    </row>
    <row r="108" spans="2:4">
      <c r="B108" s="135"/>
      <c r="D108" s="136"/>
    </row>
    <row r="109" ht="16.5" spans="2:4">
      <c r="B109" s="145"/>
      <c r="C109" s="146"/>
      <c r="D109" s="147"/>
    </row>
  </sheetData>
  <mergeCells count="3">
    <mergeCell ref="E14:F14"/>
    <mergeCell ref="B23:C23"/>
    <mergeCell ref="H34:I34"/>
  </mergeCells>
  <dataValidations count="3">
    <dataValidation type="list" allowBlank="1" showInputMessage="1" showErrorMessage="1" sqref="C16">
      <formula1>Policy_Types</formula1>
    </dataValidation>
    <dataValidation type="list" allowBlank="1" showInputMessage="1" showErrorMessage="1" sqref="F16">
      <formula1>of_days_before_cancellation</formula1>
    </dataValidation>
    <dataValidation type="list" allowBlank="1" showInputMessage="1" showErrorMessage="1" sqref="C18">
      <formula1>of_months_financed</formula1>
    </dataValidation>
  </dataValidations>
  <pageMargins left="0.7" right="0.7" top="0.75" bottom="0.75" header="0.511811023622047" footer="0.511811023622047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B19" sqref="B19"/>
    </sheetView>
  </sheetViews>
  <sheetFormatPr defaultColWidth="9" defaultRowHeight="15"/>
  <cols>
    <col min="1" max="1" width="67.1428571428571" customWidth="1"/>
  </cols>
  <sheetData>
    <row r="1" ht="21" customHeight="1" spans="1:11">
      <c r="A1" s="18" t="s">
        <v>141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21" customHeight="1" spans="1:1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" customHeight="1" spans="1:1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ht="21" customHeight="1" spans="1:1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ht="21" customHeight="1" spans="1:1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ht="21" customHeight="1" spans="1:1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ht="21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ht="21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ht="21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ht="21" customHeight="1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ht="21" customHeight="1" spans="1:1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ht="21" customHeight="1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1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ht="21" customHeight="1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7" spans="1:2">
      <c r="A17" s="2" t="s">
        <v>142</v>
      </c>
      <c r="B17" s="148" t="s">
        <v>143</v>
      </c>
    </row>
    <row r="19" spans="1:2">
      <c r="A19" s="2" t="s">
        <v>144</v>
      </c>
      <c r="B19" s="148" t="s">
        <v>145</v>
      </c>
    </row>
  </sheetData>
  <mergeCells count="1">
    <mergeCell ref="A1:K14"/>
  </mergeCells>
  <hyperlinks>
    <hyperlink ref="B17" location="'UC1-EarlyPayment'!A1" display="UC1-EarlyPayment'!A1"/>
    <hyperlink ref="B19" location="'UC-2 EarlyPayment(with LateFee)'!A1" display="UC-2 EarlyPayment(with LateFee)'!A1"/>
  </hyperlink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1" sqref="A1"/>
    </sheetView>
  </sheetViews>
  <sheetFormatPr defaultColWidth="9" defaultRowHeight="15" outlineLevelCol="5"/>
  <cols>
    <col min="1" max="1" width="26.1428571428571" customWidth="1"/>
    <col min="2" max="2" width="37.7142857142857" customWidth="1"/>
    <col min="3" max="3" width="23" customWidth="1"/>
    <col min="4" max="4" width="23.8571428571429" style="12" customWidth="1"/>
    <col min="5" max="5" width="17.8571428571429" customWidth="1"/>
    <col min="6" max="6" width="9.71428571428571" customWidth="1"/>
    <col min="7" max="7" width="33.4285714285714" customWidth="1"/>
  </cols>
  <sheetData>
    <row r="1" spans="1:1">
      <c r="A1" s="2" t="s">
        <v>142</v>
      </c>
    </row>
    <row r="2" spans="1:2">
      <c r="A2" t="s">
        <v>146</v>
      </c>
      <c r="B2" s="3">
        <v>1267.73</v>
      </c>
    </row>
    <row r="4" spans="1:2">
      <c r="A4" t="s">
        <v>147</v>
      </c>
      <c r="B4" s="4" t="s">
        <v>148</v>
      </c>
    </row>
    <row r="8" spans="1:6">
      <c r="A8" s="5" t="s">
        <v>149</v>
      </c>
      <c r="B8" s="5" t="s">
        <v>150</v>
      </c>
      <c r="C8" s="5" t="s">
        <v>151</v>
      </c>
      <c r="D8" s="16" t="s">
        <v>86</v>
      </c>
      <c r="E8" s="5" t="s">
        <v>152</v>
      </c>
      <c r="F8" s="5" t="s">
        <v>153</v>
      </c>
    </row>
    <row r="9" spans="1:6">
      <c r="A9" s="6" t="s">
        <v>154</v>
      </c>
      <c r="B9" s="7">
        <v>15777.0921701368</v>
      </c>
      <c r="C9" s="7">
        <v>2445.44928637121</v>
      </c>
      <c r="D9" s="17">
        <f>B9+C9</f>
        <v>18222.5414565081</v>
      </c>
      <c r="E9" s="6" t="s">
        <v>155</v>
      </c>
      <c r="F9" s="6"/>
    </row>
    <row r="10" spans="1:6">
      <c r="A10" s="6" t="s">
        <v>156</v>
      </c>
      <c r="B10" s="8">
        <v>15777.0921701368</v>
      </c>
      <c r="C10" s="8">
        <v>2445.44928637121</v>
      </c>
      <c r="D10" s="17">
        <f t="shared" ref="D10:D15" si="0">B10+C10</f>
        <v>18222.5414565081</v>
      </c>
      <c r="E10" s="6" t="s">
        <v>157</v>
      </c>
      <c r="F10" s="6"/>
    </row>
    <row r="11" spans="1:6">
      <c r="A11" s="6" t="s">
        <v>158</v>
      </c>
      <c r="B11" s="8">
        <v>15777.0921701368</v>
      </c>
      <c r="C11" s="7">
        <v>2445.44928637121</v>
      </c>
      <c r="D11" s="17">
        <f t="shared" si="0"/>
        <v>18222.5414565081</v>
      </c>
      <c r="E11" s="6" t="s">
        <v>159</v>
      </c>
      <c r="F11" s="6"/>
    </row>
    <row r="12" spans="1:6">
      <c r="A12" s="6" t="s">
        <v>160</v>
      </c>
      <c r="B12" s="8">
        <v>15777.0921701368</v>
      </c>
      <c r="C12" s="7">
        <v>2445.44928637121</v>
      </c>
      <c r="D12" s="17">
        <f t="shared" si="0"/>
        <v>18222.5414565081</v>
      </c>
      <c r="E12" s="6" t="s">
        <v>159</v>
      </c>
      <c r="F12" s="6"/>
    </row>
    <row r="13" spans="1:6">
      <c r="A13" s="6" t="s">
        <v>161</v>
      </c>
      <c r="B13" s="8">
        <v>15777.0921701368</v>
      </c>
      <c r="C13" s="7">
        <v>2445.44928637121</v>
      </c>
      <c r="D13" s="17">
        <f t="shared" si="0"/>
        <v>18222.5414565081</v>
      </c>
      <c r="E13" s="6" t="s">
        <v>159</v>
      </c>
      <c r="F13" s="6"/>
    </row>
    <row r="14" spans="1:6">
      <c r="A14" s="6" t="s">
        <v>162</v>
      </c>
      <c r="B14" s="8">
        <v>15777.0921701368</v>
      </c>
      <c r="C14" s="7">
        <v>2445.44928637121</v>
      </c>
      <c r="D14" s="17">
        <f t="shared" si="0"/>
        <v>18222.5414565081</v>
      </c>
      <c r="E14" s="6" t="s">
        <v>159</v>
      </c>
      <c r="F14" s="6"/>
    </row>
    <row r="15" spans="1:6">
      <c r="A15" s="6" t="s">
        <v>163</v>
      </c>
      <c r="B15" s="8">
        <v>15777.0921701368</v>
      </c>
      <c r="C15" s="7">
        <v>2445.44928637121</v>
      </c>
      <c r="D15" s="17">
        <f t="shared" si="0"/>
        <v>18222.5414565081</v>
      </c>
      <c r="E15" s="6" t="s">
        <v>159</v>
      </c>
      <c r="F15" s="6"/>
    </row>
    <row r="18" spans="1:1">
      <c r="A18" t="s">
        <v>164</v>
      </c>
    </row>
    <row r="19" spans="2:3">
      <c r="B19" s="9" t="s">
        <v>165</v>
      </c>
      <c r="C19" s="10">
        <f>SUM(B10:B15)</f>
        <v>94662.5530208211</v>
      </c>
    </row>
    <row r="20" spans="2:3">
      <c r="B20" s="9" t="s">
        <v>166</v>
      </c>
      <c r="C20" s="10">
        <f>C10</f>
        <v>2445.44928637121</v>
      </c>
    </row>
    <row r="21" spans="2:3">
      <c r="B21" t="s">
        <v>167</v>
      </c>
      <c r="C21" s="10">
        <f>C19+C20</f>
        <v>97108.0023071923</v>
      </c>
    </row>
    <row r="22" spans="2:3">
      <c r="B22" t="s">
        <v>168</v>
      </c>
      <c r="C22" s="10">
        <f>SUM(C11:C15)*50%</f>
        <v>6113.62321592803</v>
      </c>
    </row>
    <row r="23" spans="2:3">
      <c r="B23" t="s">
        <v>169</v>
      </c>
      <c r="C23" s="10">
        <f>+C22*15%</f>
        <v>917.043482389204</v>
      </c>
    </row>
    <row r="24" spans="2:3">
      <c r="B24" t="s">
        <v>170</v>
      </c>
      <c r="C24" s="10">
        <f>-1*B2</f>
        <v>-1267.73</v>
      </c>
    </row>
    <row r="25" spans="2:3">
      <c r="B25" t="s">
        <v>171</v>
      </c>
      <c r="C25" s="10">
        <f>C21+C22+C23+C24</f>
        <v>102870.93900551</v>
      </c>
    </row>
    <row r="28" spans="1:1">
      <c r="A28" s="11" t="s">
        <v>172</v>
      </c>
    </row>
    <row r="29" spans="1:4">
      <c r="A29" s="13" t="s">
        <v>173</v>
      </c>
      <c r="B29" s="13" t="s">
        <v>174</v>
      </c>
      <c r="C29" s="13" t="s">
        <v>175</v>
      </c>
      <c r="D29" s="14" t="s">
        <v>176</v>
      </c>
    </row>
    <row r="30" spans="1:4">
      <c r="A30" s="6">
        <v>1</v>
      </c>
      <c r="B30" s="6" t="s">
        <v>177</v>
      </c>
      <c r="C30" s="6" t="s">
        <v>178</v>
      </c>
      <c r="D30" s="15" t="s">
        <v>179</v>
      </c>
    </row>
    <row r="31" ht="30" spans="1:4">
      <c r="A31" s="6">
        <v>2</v>
      </c>
      <c r="B31" s="15" t="s">
        <v>180</v>
      </c>
      <c r="C31" s="6" t="s">
        <v>178</v>
      </c>
      <c r="D31" s="15" t="s">
        <v>181</v>
      </c>
    </row>
    <row r="32" ht="60" spans="1:4">
      <c r="A32" s="6">
        <v>3</v>
      </c>
      <c r="B32" s="6" t="s">
        <v>147</v>
      </c>
      <c r="C32" s="6" t="s">
        <v>182</v>
      </c>
      <c r="D32" s="15" t="s">
        <v>183</v>
      </c>
    </row>
    <row r="33" spans="1:4">
      <c r="A33" s="6">
        <v>4</v>
      </c>
      <c r="B33" s="6" t="s">
        <v>184</v>
      </c>
      <c r="C33" s="6" t="s">
        <v>178</v>
      </c>
      <c r="D33" s="15" t="s">
        <v>185</v>
      </c>
    </row>
    <row r="34" ht="30" spans="1:4">
      <c r="A34" s="6">
        <v>5</v>
      </c>
      <c r="B34" s="6" t="s">
        <v>186</v>
      </c>
      <c r="C34" s="6" t="s">
        <v>178</v>
      </c>
      <c r="D34" s="15" t="s">
        <v>187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7" workbookViewId="0">
      <selection activeCell="B38" sqref="B38"/>
    </sheetView>
  </sheetViews>
  <sheetFormatPr defaultColWidth="9" defaultRowHeight="15" outlineLevelCol="5"/>
  <cols>
    <col min="1" max="1" width="22.7142857142857" customWidth="1"/>
    <col min="2" max="2" width="37.7142857142857" customWidth="1"/>
    <col min="3" max="3" width="23" customWidth="1"/>
    <col min="4" max="4" width="19" customWidth="1"/>
    <col min="5" max="5" width="17.8571428571429" customWidth="1"/>
    <col min="6" max="6" width="35.1428571428571" customWidth="1"/>
    <col min="7" max="7" width="33.4285714285714" customWidth="1"/>
  </cols>
  <sheetData>
    <row r="1" spans="1:1">
      <c r="A1" s="2" t="s">
        <v>144</v>
      </c>
    </row>
    <row r="2" spans="1:2">
      <c r="A2" t="s">
        <v>186</v>
      </c>
      <c r="B2" s="3">
        <v>1267.73</v>
      </c>
    </row>
    <row r="4" spans="1:2">
      <c r="A4" t="s">
        <v>147</v>
      </c>
      <c r="B4" s="4" t="s">
        <v>148</v>
      </c>
    </row>
    <row r="8" spans="1:6">
      <c r="A8" s="5" t="s">
        <v>149</v>
      </c>
      <c r="B8" s="5" t="s">
        <v>150</v>
      </c>
      <c r="C8" s="5" t="s">
        <v>151</v>
      </c>
      <c r="D8" s="5" t="s">
        <v>86</v>
      </c>
      <c r="E8" s="5" t="s">
        <v>152</v>
      </c>
      <c r="F8" s="5" t="s">
        <v>153</v>
      </c>
    </row>
    <row r="9" spans="1:6">
      <c r="A9" s="6" t="s">
        <v>154</v>
      </c>
      <c r="B9" s="7">
        <v>15777.0921701368</v>
      </c>
      <c r="C9" s="7">
        <v>2445.44928637121</v>
      </c>
      <c r="D9" s="7">
        <f>B9+C9</f>
        <v>18222.5414565081</v>
      </c>
      <c r="E9" s="6" t="s">
        <v>155</v>
      </c>
      <c r="F9" s="6"/>
    </row>
    <row r="10" spans="1:6">
      <c r="A10" s="6" t="s">
        <v>156</v>
      </c>
      <c r="B10" s="8">
        <v>15777.0921701368</v>
      </c>
      <c r="C10" s="8">
        <v>2445.44928637121</v>
      </c>
      <c r="D10" s="7">
        <f t="shared" ref="D10:D15" si="0">B10+C10</f>
        <v>18222.5414565081</v>
      </c>
      <c r="E10" s="6" t="s">
        <v>188</v>
      </c>
      <c r="F10" s="6" t="s">
        <v>189</v>
      </c>
    </row>
    <row r="11" spans="1:6">
      <c r="A11" s="6" t="s">
        <v>158</v>
      </c>
      <c r="B11" s="8">
        <v>15777.0921701368</v>
      </c>
      <c r="C11" s="8">
        <v>2445.44928637121</v>
      </c>
      <c r="D11" s="7">
        <f t="shared" si="0"/>
        <v>18222.5414565081</v>
      </c>
      <c r="E11" s="6" t="s">
        <v>190</v>
      </c>
      <c r="F11" s="6"/>
    </row>
    <row r="12" spans="1:6">
      <c r="A12" s="6" t="s">
        <v>160</v>
      </c>
      <c r="B12" s="8">
        <v>15777.0921701368</v>
      </c>
      <c r="C12" s="7">
        <v>2445.44928637121</v>
      </c>
      <c r="D12" s="7">
        <f t="shared" si="0"/>
        <v>18222.5414565081</v>
      </c>
      <c r="E12" s="6" t="s">
        <v>159</v>
      </c>
      <c r="F12" s="6"/>
    </row>
    <row r="13" spans="1:6">
      <c r="A13" s="6" t="s">
        <v>161</v>
      </c>
      <c r="B13" s="8">
        <v>15777.0921701368</v>
      </c>
      <c r="C13" s="7">
        <v>2445.44928637121</v>
      </c>
      <c r="D13" s="7">
        <f t="shared" si="0"/>
        <v>18222.5414565081</v>
      </c>
      <c r="E13" s="6" t="s">
        <v>159</v>
      </c>
      <c r="F13" s="6"/>
    </row>
    <row r="14" spans="1:6">
      <c r="A14" s="6" t="s">
        <v>162</v>
      </c>
      <c r="B14" s="8">
        <v>15777.0921701368</v>
      </c>
      <c r="C14" s="7">
        <v>2445.44928637121</v>
      </c>
      <c r="D14" s="7">
        <f t="shared" si="0"/>
        <v>18222.5414565081</v>
      </c>
      <c r="E14" s="6" t="s">
        <v>159</v>
      </c>
      <c r="F14" s="6"/>
    </row>
    <row r="15" spans="1:6">
      <c r="A15" s="6" t="s">
        <v>163</v>
      </c>
      <c r="B15" s="8">
        <v>15777.0921701368</v>
      </c>
      <c r="C15" s="7">
        <v>2445.44928637121</v>
      </c>
      <c r="D15" s="7">
        <f t="shared" si="0"/>
        <v>18222.5414565081</v>
      </c>
      <c r="E15" s="6" t="s">
        <v>159</v>
      </c>
      <c r="F15" s="6"/>
    </row>
    <row r="18" spans="1:1">
      <c r="A18" t="s">
        <v>164</v>
      </c>
    </row>
    <row r="19" spans="2:3">
      <c r="B19" s="9" t="s">
        <v>165</v>
      </c>
      <c r="C19" s="10">
        <f>SUM(B10:B15)</f>
        <v>94662.5530208211</v>
      </c>
    </row>
    <row r="20" spans="2:3">
      <c r="B20" s="9" t="s">
        <v>166</v>
      </c>
      <c r="C20" s="10">
        <f>SUM(C10:C11)</f>
        <v>4890.89857274242</v>
      </c>
    </row>
    <row r="21" spans="2:3">
      <c r="B21" s="9" t="s">
        <v>191</v>
      </c>
      <c r="C21" s="10">
        <v>2070</v>
      </c>
    </row>
    <row r="22" spans="2:3">
      <c r="B22" t="s">
        <v>167</v>
      </c>
      <c r="C22" s="10">
        <f>SUM(C19:C21)</f>
        <v>101623.451593564</v>
      </c>
    </row>
    <row r="23" spans="2:3">
      <c r="B23" t="s">
        <v>168</v>
      </c>
      <c r="C23" s="10">
        <f>SUM(C12:C15)*50%</f>
        <v>4890.89857274242</v>
      </c>
    </row>
    <row r="24" spans="2:3">
      <c r="B24" t="s">
        <v>169</v>
      </c>
      <c r="C24" s="10">
        <f>+C23*15%</f>
        <v>733.634785911363</v>
      </c>
    </row>
    <row r="25" spans="2:3">
      <c r="B25" t="s">
        <v>170</v>
      </c>
      <c r="C25" s="10">
        <f>-1*B2</f>
        <v>-1267.73</v>
      </c>
    </row>
    <row r="26" spans="2:3">
      <c r="B26" t="s">
        <v>171</v>
      </c>
      <c r="C26" s="10">
        <f>C22+C23+C24+C25</f>
        <v>105980.254952217</v>
      </c>
    </row>
    <row r="29" spans="1:4">
      <c r="A29" s="11" t="s">
        <v>172</v>
      </c>
      <c r="D29" s="12"/>
    </row>
    <row r="30" spans="1:4">
      <c r="A30" s="13" t="s">
        <v>173</v>
      </c>
      <c r="B30" s="13" t="s">
        <v>174</v>
      </c>
      <c r="C30" s="13" t="s">
        <v>175</v>
      </c>
      <c r="D30" s="14" t="s">
        <v>176</v>
      </c>
    </row>
    <row r="31" spans="1:4">
      <c r="A31" s="6">
        <v>1</v>
      </c>
      <c r="B31" s="6" t="s">
        <v>177</v>
      </c>
      <c r="C31" s="6" t="s">
        <v>178</v>
      </c>
      <c r="D31" s="15" t="s">
        <v>179</v>
      </c>
    </row>
    <row r="32" ht="45" spans="1:4">
      <c r="A32" s="6">
        <v>2</v>
      </c>
      <c r="B32" s="15" t="s">
        <v>180</v>
      </c>
      <c r="C32" s="6" t="s">
        <v>178</v>
      </c>
      <c r="D32" s="15" t="s">
        <v>181</v>
      </c>
    </row>
    <row r="33" ht="75" spans="1:4">
      <c r="A33" s="6">
        <v>3</v>
      </c>
      <c r="B33" s="6" t="s">
        <v>147</v>
      </c>
      <c r="C33" s="6" t="s">
        <v>182</v>
      </c>
      <c r="D33" s="15" t="s">
        <v>183</v>
      </c>
    </row>
    <row r="34" spans="1:4">
      <c r="A34" s="6">
        <v>4</v>
      </c>
      <c r="B34" s="6" t="s">
        <v>184</v>
      </c>
      <c r="C34" s="6" t="s">
        <v>178</v>
      </c>
      <c r="D34" s="15" t="s">
        <v>185</v>
      </c>
    </row>
    <row r="35" ht="45" spans="1:4">
      <c r="A35" s="6">
        <v>5</v>
      </c>
      <c r="B35" s="6" t="s">
        <v>186</v>
      </c>
      <c r="C35" s="6" t="s">
        <v>178</v>
      </c>
      <c r="D35" s="15" t="s">
        <v>187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H20"/>
  <sheetViews>
    <sheetView workbookViewId="0">
      <selection activeCell="E20" sqref="E20"/>
    </sheetView>
  </sheetViews>
  <sheetFormatPr defaultColWidth="9" defaultRowHeight="15" outlineLevelCol="7"/>
  <cols>
    <col min="4" max="4" width="33.4285714285714" customWidth="1"/>
    <col min="7" max="7" width="33.2857142857143" customWidth="1"/>
    <col min="8" max="8" width="9" customWidth="1"/>
  </cols>
  <sheetData>
    <row r="5" spans="4:8">
      <c r="D5" t="s">
        <v>70</v>
      </c>
      <c r="E5">
        <v>95880</v>
      </c>
      <c r="G5" s="1" t="s">
        <v>192</v>
      </c>
      <c r="H5" s="1">
        <v>16731.95</v>
      </c>
    </row>
    <row r="7" spans="4:5">
      <c r="D7" t="s">
        <v>74</v>
      </c>
      <c r="E7">
        <v>0</v>
      </c>
    </row>
    <row r="12" spans="4:5">
      <c r="D12" t="s">
        <v>193</v>
      </c>
      <c r="E12">
        <f>E5-H5</f>
        <v>79148.05</v>
      </c>
    </row>
    <row r="15" spans="4:5">
      <c r="D15" t="s">
        <v>194</v>
      </c>
      <c r="E15">
        <f>E12*0.15</f>
        <v>11872.2075</v>
      </c>
    </row>
    <row r="17" spans="4:5">
      <c r="D17" t="s">
        <v>195</v>
      </c>
      <c r="E17">
        <v>1990.21</v>
      </c>
    </row>
    <row r="20" spans="4:5">
      <c r="D20" t="s">
        <v>196</v>
      </c>
      <c r="E20">
        <f>E15-E17</f>
        <v>9881.9975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Case2-SurplusPayment</vt:lpstr>
      <vt:lpstr>EarlyPayout</vt:lpstr>
      <vt:lpstr>UC1-EarlyPayment</vt:lpstr>
      <vt:lpstr>UC-2 EarlyPayment(with LateFee)</vt:lpstr>
      <vt:lpstr>Case2-SurplusInteres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Bhadouriya</dc:creator>
  <cp:lastModifiedBy>Admin</cp:lastModifiedBy>
  <cp:revision>1</cp:revision>
  <dcterms:created xsi:type="dcterms:W3CDTF">2021-06-10T11:36:00Z</dcterms:created>
  <dcterms:modified xsi:type="dcterms:W3CDTF">2025-12-08T16:08:00Z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17CDAB9BA2224E769ABD49001B5DA6C2_13</vt:lpwstr>
  </property>
  <property fmtid="{D5CDD505-2E9C-101B-9397-08002B2CF9AE}" pid="3" name="KSOProductBuildVer">
    <vt:lpwstr>1033-12.2.0.23155</vt:lpwstr>
  </property>
</Properties>
</file>